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20" windowWidth="12120" windowHeight="9135" tabRatio="777"/>
  </bookViews>
  <sheets>
    <sheet name="OPĆI DIO-2022" sheetId="16" r:id="rId1"/>
    <sheet name="PRIH I PRIMICI PO EK KL" sheetId="19" r:id="rId2"/>
    <sheet name="RASH I IZD PO EK KL" sheetId="20" r:id="rId3"/>
    <sheet name="UK PRIH I RASH PO IZV FIN" sheetId="26" r:id="rId4"/>
    <sheet name="1 OPĆI PRIHODI I PRIMICI" sheetId="21" r:id="rId5"/>
    <sheet name="3 VLASTITI PRIHODI" sheetId="33" r:id="rId6"/>
    <sheet name="4 PRIHODI ZA POSEBNE NAMJENE" sheetId="22" r:id="rId7"/>
    <sheet name="5 POMOĆI" sheetId="23" r:id="rId8"/>
    <sheet name="5 POMOĆI SHEMA PMN PREH" sheetId="24" r:id="rId9"/>
    <sheet name="5 POMOĆI HZZ PRIPR ERASMUS" sheetId="34" r:id="rId10"/>
    <sheet name="6 DONACIJE" sheetId="25" r:id="rId11"/>
    <sheet name="VIŠAK PO IZV FIN" sheetId="27" r:id="rId12"/>
  </sheets>
  <definedNames>
    <definedName name="_xlnm.Print_Titles" localSheetId="4">'1 OPĆI PRIHODI I PRIMICI'!$5:$6</definedName>
    <definedName name="_xlnm.Print_Titles" localSheetId="5">'3 VLASTITI PRIHODI'!$5:$6</definedName>
    <definedName name="_xlnm.Print_Titles" localSheetId="6">'4 PRIHODI ZA POSEBNE NAMJENE'!$5:$6</definedName>
    <definedName name="_xlnm.Print_Titles" localSheetId="7">'5 POMOĆI'!$5:$6</definedName>
    <definedName name="_xlnm.Print_Titles" localSheetId="9">'5 POMOĆI HZZ PRIPR ERASMUS'!$5:$6</definedName>
    <definedName name="_xlnm.Print_Titles" localSheetId="8">'5 POMOĆI SHEMA PMN PREH'!$5:$6</definedName>
    <definedName name="_xlnm.Print_Titles" localSheetId="10">'6 DONACIJE'!$5:$6</definedName>
    <definedName name="_xlnm.Print_Titles" localSheetId="1">'PRIH I PRIMICI PO EK KL'!$5:$6</definedName>
    <definedName name="_xlnm.Print_Titles" localSheetId="2">'RASH I IZD PO EK KL'!$5:$6</definedName>
    <definedName name="_xlnm.Print_Titles" localSheetId="3">'UK PRIH I RASH PO IZV FIN'!$5:$6</definedName>
  </definedNames>
  <calcPr calcId="145621"/>
</workbook>
</file>

<file path=xl/calcChain.xml><?xml version="1.0" encoding="utf-8"?>
<calcChain xmlns="http://schemas.openxmlformats.org/spreadsheetml/2006/main">
  <c r="D28" i="26" l="1"/>
  <c r="D43" i="26"/>
  <c r="D33" i="26"/>
  <c r="D23" i="26"/>
  <c r="D18" i="26"/>
  <c r="D13" i="26"/>
  <c r="D34" i="26"/>
  <c r="D29" i="26"/>
  <c r="D24" i="26"/>
  <c r="D19" i="26"/>
  <c r="D14" i="26"/>
  <c r="D20" i="19"/>
  <c r="D14" i="19"/>
  <c r="D36" i="19"/>
  <c r="D44" i="21"/>
  <c r="D29" i="24"/>
  <c r="D53" i="21"/>
  <c r="D50" i="21"/>
  <c r="D42" i="21"/>
  <c r="D29" i="21"/>
  <c r="D25" i="21"/>
  <c r="D24" i="21"/>
  <c r="D19" i="21"/>
  <c r="D18" i="21"/>
  <c r="E77" i="23" l="1"/>
  <c r="D32" i="23"/>
  <c r="D28" i="23"/>
  <c r="D17" i="23"/>
  <c r="D43" i="22"/>
  <c r="D44" i="33"/>
  <c r="D22" i="25"/>
  <c r="C77" i="34" l="1"/>
  <c r="E76" i="34"/>
  <c r="E75" i="34"/>
  <c r="D74" i="34"/>
  <c r="E74" i="34" s="1"/>
  <c r="C74" i="34"/>
  <c r="E73" i="34"/>
  <c r="E71" i="34"/>
  <c r="E70" i="34"/>
  <c r="E69" i="34"/>
  <c r="E68" i="34"/>
  <c r="E67" i="34"/>
  <c r="D66" i="34"/>
  <c r="C66" i="34"/>
  <c r="E64" i="34"/>
  <c r="D63" i="34"/>
  <c r="E63" i="34" s="1"/>
  <c r="C63" i="34"/>
  <c r="D60" i="34"/>
  <c r="E60" i="34" s="1"/>
  <c r="C60" i="34"/>
  <c r="E58" i="34"/>
  <c r="E57" i="34"/>
  <c r="E56" i="34"/>
  <c r="D55" i="34"/>
  <c r="E55" i="34" s="1"/>
  <c r="C55" i="34"/>
  <c r="E52" i="34"/>
  <c r="E51" i="34"/>
  <c r="E50" i="34"/>
  <c r="E49" i="34"/>
  <c r="E48" i="34"/>
  <c r="E47" i="34"/>
  <c r="D46" i="34"/>
  <c r="E46" i="34" s="1"/>
  <c r="C46" i="34"/>
  <c r="E45" i="34"/>
  <c r="E44" i="34"/>
  <c r="E43" i="34"/>
  <c r="E42" i="34"/>
  <c r="E41" i="34"/>
  <c r="E40" i="34"/>
  <c r="E39" i="34"/>
  <c r="E38" i="34"/>
  <c r="E37" i="34"/>
  <c r="E36" i="34"/>
  <c r="E35" i="34"/>
  <c r="D34" i="34"/>
  <c r="C34" i="34"/>
  <c r="E34" i="34" s="1"/>
  <c r="E33" i="34"/>
  <c r="E32" i="34"/>
  <c r="E31" i="34"/>
  <c r="E30" i="34"/>
  <c r="E29" i="34"/>
  <c r="E28" i="34"/>
  <c r="D27" i="34"/>
  <c r="C27" i="34"/>
  <c r="E26" i="34"/>
  <c r="E25" i="34"/>
  <c r="E24" i="34"/>
  <c r="E23" i="34"/>
  <c r="D22" i="34"/>
  <c r="D21" i="34" s="1"/>
  <c r="C22" i="34"/>
  <c r="D77" i="34"/>
  <c r="E17" i="34"/>
  <c r="E16" i="34"/>
  <c r="C14" i="34"/>
  <c r="G13" i="34"/>
  <c r="F13" i="34"/>
  <c r="C78" i="33"/>
  <c r="E77" i="33"/>
  <c r="E76" i="33"/>
  <c r="D75" i="33"/>
  <c r="C75" i="33"/>
  <c r="E75" i="33" s="1"/>
  <c r="E74" i="33"/>
  <c r="E72" i="33"/>
  <c r="E71" i="33"/>
  <c r="E70" i="33"/>
  <c r="E69" i="33"/>
  <c r="E68" i="33"/>
  <c r="D67" i="33"/>
  <c r="C67" i="33"/>
  <c r="E65" i="33"/>
  <c r="D64" i="33"/>
  <c r="C64" i="33"/>
  <c r="D61" i="33"/>
  <c r="E61" i="33" s="1"/>
  <c r="C61" i="33"/>
  <c r="E59" i="33"/>
  <c r="E58" i="33"/>
  <c r="E57" i="33"/>
  <c r="D56" i="33"/>
  <c r="C56" i="33"/>
  <c r="E53" i="33"/>
  <c r="E52" i="33"/>
  <c r="E51" i="33"/>
  <c r="D47" i="33"/>
  <c r="E49" i="33"/>
  <c r="E48" i="33"/>
  <c r="C47" i="33"/>
  <c r="E46" i="33"/>
  <c r="E44" i="33"/>
  <c r="E43" i="33"/>
  <c r="E42" i="33"/>
  <c r="E41" i="33"/>
  <c r="E40" i="33"/>
  <c r="E39" i="33"/>
  <c r="E38" i="33"/>
  <c r="E37" i="33"/>
  <c r="E36" i="33"/>
  <c r="C35" i="33"/>
  <c r="E34" i="33"/>
  <c r="E33" i="33"/>
  <c r="E32" i="33"/>
  <c r="E31" i="33"/>
  <c r="E30" i="33"/>
  <c r="E29" i="33"/>
  <c r="D28" i="33"/>
  <c r="C28" i="33"/>
  <c r="E27" i="33"/>
  <c r="E26" i="33"/>
  <c r="E25" i="33"/>
  <c r="E24" i="33"/>
  <c r="D23" i="33"/>
  <c r="C23" i="33"/>
  <c r="E19" i="33"/>
  <c r="E18" i="33"/>
  <c r="E17" i="33"/>
  <c r="C15" i="33"/>
  <c r="G14" i="33"/>
  <c r="F14" i="33"/>
  <c r="J34" i="27"/>
  <c r="O22" i="27"/>
  <c r="M31" i="27"/>
  <c r="O31" i="27" s="1"/>
  <c r="M22" i="27"/>
  <c r="M23" i="27"/>
  <c r="O23" i="27" s="1"/>
  <c r="M19" i="27"/>
  <c r="O19" i="27" s="1"/>
  <c r="M20" i="27"/>
  <c r="O20" i="27" s="1"/>
  <c r="I15" i="27"/>
  <c r="M15" i="27" s="1"/>
  <c r="O15" i="27" s="1"/>
  <c r="I16" i="27"/>
  <c r="I26" i="27"/>
  <c r="I24" i="27"/>
  <c r="H26" i="27"/>
  <c r="H16" i="27"/>
  <c r="H25" i="27"/>
  <c r="H13" i="27"/>
  <c r="H14" i="27"/>
  <c r="C16" i="27"/>
  <c r="C27" i="27"/>
  <c r="C18" i="27"/>
  <c r="M18" i="27" s="1"/>
  <c r="O18" i="27" s="1"/>
  <c r="C21" i="27"/>
  <c r="M21" i="27" s="1"/>
  <c r="O21" i="27" s="1"/>
  <c r="J24" i="27"/>
  <c r="N33" i="27"/>
  <c r="F20" i="27"/>
  <c r="F26" i="27"/>
  <c r="F14" i="27"/>
  <c r="M14" i="27" s="1"/>
  <c r="O14" i="27" s="1"/>
  <c r="F28" i="27"/>
  <c r="F29" i="27"/>
  <c r="M29" i="27" s="1"/>
  <c r="O29" i="27" s="1"/>
  <c r="D26" i="27"/>
  <c r="E12" i="27"/>
  <c r="E24" i="27"/>
  <c r="E30" i="27"/>
  <c r="M30" i="27" s="1"/>
  <c r="O30" i="27" s="1"/>
  <c r="E66" i="34" l="1"/>
  <c r="E67" i="33"/>
  <c r="E47" i="33"/>
  <c r="E64" i="33"/>
  <c r="E56" i="33"/>
  <c r="E28" i="33"/>
  <c r="E23" i="33"/>
  <c r="C22" i="33"/>
  <c r="C79" i="33"/>
  <c r="E77" i="34"/>
  <c r="E27" i="34"/>
  <c r="C21" i="34"/>
  <c r="C78" i="34" s="1"/>
  <c r="E21" i="34"/>
  <c r="D14" i="34"/>
  <c r="E18" i="34"/>
  <c r="E22" i="34"/>
  <c r="E50" i="33"/>
  <c r="D78" i="33"/>
  <c r="E78" i="33" s="1"/>
  <c r="D15" i="33"/>
  <c r="D35" i="33"/>
  <c r="E35" i="33" s="1"/>
  <c r="C29" i="26"/>
  <c r="C24" i="26"/>
  <c r="C17" i="26"/>
  <c r="C19" i="26"/>
  <c r="D19" i="19"/>
  <c r="D15" i="19"/>
  <c r="D43" i="19"/>
  <c r="D32" i="19"/>
  <c r="D26" i="19"/>
  <c r="D78" i="34" l="1"/>
  <c r="E78" i="34" s="1"/>
  <c r="E14" i="34"/>
  <c r="D22" i="33"/>
  <c r="E22" i="33" s="1"/>
  <c r="E15" i="33"/>
  <c r="D12" i="26"/>
  <c r="C33" i="27"/>
  <c r="C34" i="27" s="1"/>
  <c r="D33" i="27"/>
  <c r="E33" i="27"/>
  <c r="F33" i="27"/>
  <c r="F34" i="27" s="1"/>
  <c r="G33" i="27"/>
  <c r="H33" i="27"/>
  <c r="I33" i="27"/>
  <c r="J33" i="27"/>
  <c r="K33" i="27"/>
  <c r="L33" i="27"/>
  <c r="M27" i="27"/>
  <c r="O27" i="27" s="1"/>
  <c r="M13" i="27"/>
  <c r="O13" i="27" s="1"/>
  <c r="M17" i="27"/>
  <c r="O17" i="27" s="1"/>
  <c r="M24" i="27"/>
  <c r="O24" i="27" s="1"/>
  <c r="M25" i="27"/>
  <c r="O25" i="27" s="1"/>
  <c r="M28" i="27"/>
  <c r="O28" i="27" s="1"/>
  <c r="M32" i="27"/>
  <c r="O32" i="27" s="1"/>
  <c r="M12" i="27"/>
  <c r="O12" i="27" s="1"/>
  <c r="D16" i="27"/>
  <c r="M16" i="27" s="1"/>
  <c r="O16" i="27" s="1"/>
  <c r="D79" i="33" l="1"/>
  <c r="E79" i="33" s="1"/>
  <c r="M26" i="27"/>
  <c r="O26" i="27" s="1"/>
  <c r="E30" i="26"/>
  <c r="E20" i="26"/>
  <c r="E29" i="26"/>
  <c r="C43" i="26"/>
  <c r="D17" i="26"/>
  <c r="D45" i="26"/>
  <c r="D44" i="26"/>
  <c r="D32" i="26"/>
  <c r="C32" i="26"/>
  <c r="D27" i="26"/>
  <c r="D22" i="26"/>
  <c r="C22" i="26"/>
  <c r="C12" i="26"/>
  <c r="E13" i="26"/>
  <c r="E14" i="26"/>
  <c r="E19" i="26"/>
  <c r="E23" i="26"/>
  <c r="E24" i="26"/>
  <c r="E25" i="26"/>
  <c r="E33" i="26"/>
  <c r="E34" i="26"/>
  <c r="E40" i="26"/>
  <c r="G11" i="26"/>
  <c r="F11" i="26"/>
  <c r="E22" i="26" l="1"/>
  <c r="D47" i="26"/>
  <c r="M33" i="27"/>
  <c r="O33" i="27" s="1"/>
  <c r="C44" i="26"/>
  <c r="C45" i="26"/>
  <c r="E45" i="26" s="1"/>
  <c r="E43" i="26"/>
  <c r="E32" i="26"/>
  <c r="C27" i="26"/>
  <c r="E27" i="26" s="1"/>
  <c r="E28" i="26"/>
  <c r="E17" i="26"/>
  <c r="E18" i="26"/>
  <c r="E12" i="26"/>
  <c r="E44" i="26" l="1"/>
  <c r="C47" i="26"/>
  <c r="G43" i="19"/>
  <c r="F43" i="19"/>
  <c r="F23" i="16"/>
  <c r="D77" i="25"/>
  <c r="D77" i="24"/>
  <c r="D77" i="23"/>
  <c r="D77" i="22"/>
  <c r="D78" i="21"/>
  <c r="E30" i="21"/>
  <c r="E53" i="21" l="1"/>
  <c r="D35" i="21"/>
  <c r="E17" i="21"/>
  <c r="E14" i="25"/>
  <c r="C77" i="25"/>
  <c r="E76" i="25"/>
  <c r="E75" i="25"/>
  <c r="D74" i="25"/>
  <c r="C74" i="25"/>
  <c r="E74" i="25" s="1"/>
  <c r="E73" i="25"/>
  <c r="E71" i="25"/>
  <c r="E70" i="25"/>
  <c r="E69" i="25"/>
  <c r="E68" i="25"/>
  <c r="E67" i="25"/>
  <c r="D66" i="25"/>
  <c r="C66" i="25"/>
  <c r="E64" i="25"/>
  <c r="D63" i="25"/>
  <c r="C63" i="25"/>
  <c r="E60" i="25"/>
  <c r="D60" i="25"/>
  <c r="C60" i="25"/>
  <c r="E58" i="25"/>
  <c r="E57" i="25"/>
  <c r="E56" i="25"/>
  <c r="D55" i="25"/>
  <c r="C55" i="25"/>
  <c r="E52" i="25"/>
  <c r="E51" i="25"/>
  <c r="E50" i="25"/>
  <c r="E49" i="25"/>
  <c r="E48" i="25"/>
  <c r="E47" i="25"/>
  <c r="D46" i="25"/>
  <c r="C46" i="25"/>
  <c r="E45" i="25"/>
  <c r="E44" i="25"/>
  <c r="E43" i="25"/>
  <c r="E42" i="25"/>
  <c r="E41" i="25"/>
  <c r="E40" i="25"/>
  <c r="E39" i="25"/>
  <c r="E38" i="25"/>
  <c r="E37" i="25"/>
  <c r="E36" i="25"/>
  <c r="E35" i="25"/>
  <c r="D34" i="25"/>
  <c r="C34" i="25"/>
  <c r="E33" i="25"/>
  <c r="E32" i="25"/>
  <c r="E31" i="25"/>
  <c r="E30" i="25"/>
  <c r="E29" i="25"/>
  <c r="E28" i="25"/>
  <c r="D27" i="25"/>
  <c r="C27" i="25"/>
  <c r="E26" i="25"/>
  <c r="E25" i="25"/>
  <c r="E24" i="25"/>
  <c r="E23" i="25"/>
  <c r="C22" i="25"/>
  <c r="E18" i="25"/>
  <c r="E17" i="25"/>
  <c r="E16" i="25"/>
  <c r="D14" i="25"/>
  <c r="C14" i="25"/>
  <c r="G13" i="25"/>
  <c r="F13" i="25"/>
  <c r="C77" i="24"/>
  <c r="E76" i="24"/>
  <c r="E75" i="24"/>
  <c r="D74" i="24"/>
  <c r="C74" i="24"/>
  <c r="E73" i="24"/>
  <c r="E71" i="24"/>
  <c r="E70" i="24"/>
  <c r="E69" i="24"/>
  <c r="E68" i="24"/>
  <c r="E67" i="24"/>
  <c r="D66" i="24"/>
  <c r="C66" i="24"/>
  <c r="E64" i="24"/>
  <c r="D63" i="24"/>
  <c r="C63" i="24"/>
  <c r="E63" i="24" s="1"/>
  <c r="D60" i="24"/>
  <c r="E60" i="24" s="1"/>
  <c r="C60" i="24"/>
  <c r="E58" i="24"/>
  <c r="E57" i="24"/>
  <c r="E56" i="24"/>
  <c r="D55" i="24"/>
  <c r="C55" i="24"/>
  <c r="E52" i="24"/>
  <c r="E51" i="24"/>
  <c r="E50" i="24"/>
  <c r="E49" i="24"/>
  <c r="E48" i="24"/>
  <c r="E47" i="24"/>
  <c r="D46" i="24"/>
  <c r="E46" i="24" s="1"/>
  <c r="C46" i="24"/>
  <c r="E45" i="24"/>
  <c r="E44" i="24"/>
  <c r="E43" i="24"/>
  <c r="E42" i="24"/>
  <c r="E41" i="24"/>
  <c r="E40" i="24"/>
  <c r="E39" i="24"/>
  <c r="E38" i="24"/>
  <c r="E37" i="24"/>
  <c r="E36" i="24"/>
  <c r="E35" i="24"/>
  <c r="D34" i="24"/>
  <c r="C34" i="24"/>
  <c r="E33" i="24"/>
  <c r="E32" i="24"/>
  <c r="E31" i="24"/>
  <c r="E30" i="24"/>
  <c r="E29" i="24"/>
  <c r="E28" i="24"/>
  <c r="D27" i="24"/>
  <c r="C27" i="24"/>
  <c r="E26" i="24"/>
  <c r="E25" i="24"/>
  <c r="E24" i="24"/>
  <c r="E23" i="24"/>
  <c r="D22" i="24"/>
  <c r="C22" i="24"/>
  <c r="E18" i="24"/>
  <c r="E17" i="24"/>
  <c r="D14" i="24"/>
  <c r="C14" i="24"/>
  <c r="G13" i="24"/>
  <c r="F13" i="24"/>
  <c r="C77" i="23"/>
  <c r="E76" i="23"/>
  <c r="E75" i="23"/>
  <c r="E74" i="23"/>
  <c r="D74" i="23"/>
  <c r="C74" i="23"/>
  <c r="E73" i="23"/>
  <c r="E71" i="23"/>
  <c r="E70" i="23"/>
  <c r="E69" i="23"/>
  <c r="E68" i="23"/>
  <c r="E67" i="23"/>
  <c r="D66" i="23"/>
  <c r="C66" i="23"/>
  <c r="E64" i="23"/>
  <c r="D63" i="23"/>
  <c r="C63" i="23"/>
  <c r="D60" i="23"/>
  <c r="E60" i="23" s="1"/>
  <c r="C60" i="23"/>
  <c r="E58" i="23"/>
  <c r="E57" i="23"/>
  <c r="E56" i="23"/>
  <c r="D55" i="23"/>
  <c r="C55" i="23"/>
  <c r="E52" i="23"/>
  <c r="E51" i="23"/>
  <c r="E50" i="23"/>
  <c r="E49" i="23"/>
  <c r="E48" i="23"/>
  <c r="E47" i="23"/>
  <c r="D46" i="23"/>
  <c r="C46" i="23"/>
  <c r="E45" i="23"/>
  <c r="E44" i="23"/>
  <c r="E43" i="23"/>
  <c r="E42" i="23"/>
  <c r="E41" i="23"/>
  <c r="E40" i="23"/>
  <c r="E39" i="23"/>
  <c r="E38" i="23"/>
  <c r="E37" i="23"/>
  <c r="E36" i="23"/>
  <c r="E35" i="23"/>
  <c r="D34" i="23"/>
  <c r="C34" i="23"/>
  <c r="E33" i="23"/>
  <c r="E32" i="23"/>
  <c r="E31" i="23"/>
  <c r="E30" i="23"/>
  <c r="E29" i="23"/>
  <c r="E28" i="23"/>
  <c r="D27" i="23"/>
  <c r="C27" i="23"/>
  <c r="E26" i="23"/>
  <c r="E25" i="23"/>
  <c r="E24" i="23"/>
  <c r="E23" i="23"/>
  <c r="D22" i="23"/>
  <c r="C22" i="23"/>
  <c r="E22" i="23" s="1"/>
  <c r="E18" i="23"/>
  <c r="E17" i="23"/>
  <c r="E16" i="23"/>
  <c r="D14" i="23"/>
  <c r="C14" i="23"/>
  <c r="G13" i="23"/>
  <c r="F13" i="23"/>
  <c r="C77" i="22"/>
  <c r="E76" i="22"/>
  <c r="E75" i="22"/>
  <c r="D74" i="22"/>
  <c r="C74" i="22"/>
  <c r="E73" i="22"/>
  <c r="E71" i="22"/>
  <c r="E70" i="22"/>
  <c r="E69" i="22"/>
  <c r="E68" i="22"/>
  <c r="E67" i="22"/>
  <c r="D66" i="22"/>
  <c r="C66" i="22"/>
  <c r="E64" i="22"/>
  <c r="D63" i="22"/>
  <c r="C63" i="22"/>
  <c r="D60" i="22"/>
  <c r="E60" i="22" s="1"/>
  <c r="C60" i="22"/>
  <c r="E58" i="22"/>
  <c r="E57" i="22"/>
  <c r="E56" i="22"/>
  <c r="D55" i="22"/>
  <c r="C55" i="22"/>
  <c r="E52" i="22"/>
  <c r="E51" i="22"/>
  <c r="E50" i="22"/>
  <c r="E49" i="22"/>
  <c r="E48" i="22"/>
  <c r="E47" i="22"/>
  <c r="D46" i="22"/>
  <c r="C46" i="22"/>
  <c r="E45" i="22"/>
  <c r="E44" i="22"/>
  <c r="E43" i="22"/>
  <c r="E42" i="22"/>
  <c r="E41" i="22"/>
  <c r="E40" i="22"/>
  <c r="E39" i="22"/>
  <c r="E38" i="22"/>
  <c r="E37" i="22"/>
  <c r="E36" i="22"/>
  <c r="E35" i="22"/>
  <c r="D34" i="22"/>
  <c r="C34" i="22"/>
  <c r="E33" i="22"/>
  <c r="E32" i="22"/>
  <c r="E31" i="22"/>
  <c r="E30" i="22"/>
  <c r="E29" i="22"/>
  <c r="E28" i="22"/>
  <c r="D27" i="22"/>
  <c r="C27" i="22"/>
  <c r="E26" i="22"/>
  <c r="E25" i="22"/>
  <c r="E24" i="22"/>
  <c r="E23" i="22"/>
  <c r="D22" i="22"/>
  <c r="C22" i="22"/>
  <c r="E18" i="22"/>
  <c r="E17" i="22"/>
  <c r="E16" i="22"/>
  <c r="D14" i="22"/>
  <c r="C14" i="22"/>
  <c r="G13" i="22"/>
  <c r="F13" i="22"/>
  <c r="C78" i="21"/>
  <c r="E77" i="21"/>
  <c r="E76" i="21"/>
  <c r="D75" i="21"/>
  <c r="C75" i="21"/>
  <c r="E74" i="21"/>
  <c r="E72" i="21"/>
  <c r="E71" i="21"/>
  <c r="E70" i="21"/>
  <c r="E69" i="21"/>
  <c r="E68" i="21"/>
  <c r="D67" i="21"/>
  <c r="C67" i="21"/>
  <c r="E65" i="21"/>
  <c r="D64" i="21"/>
  <c r="C64" i="21"/>
  <c r="D61" i="21"/>
  <c r="C61" i="21"/>
  <c r="E59" i="21"/>
  <c r="E58" i="21"/>
  <c r="E57" i="21"/>
  <c r="D56" i="21"/>
  <c r="C56" i="21"/>
  <c r="E52" i="21"/>
  <c r="E51" i="21"/>
  <c r="E50" i="21"/>
  <c r="E49" i="21"/>
  <c r="E48" i="21"/>
  <c r="C47" i="21"/>
  <c r="E46" i="21"/>
  <c r="E44" i="21"/>
  <c r="E43" i="21"/>
  <c r="E42" i="21"/>
  <c r="E41" i="21"/>
  <c r="E40" i="21"/>
  <c r="E39" i="21"/>
  <c r="E38" i="21"/>
  <c r="E37" i="21"/>
  <c r="E36" i="21"/>
  <c r="C35" i="21"/>
  <c r="E34" i="21"/>
  <c r="E33" i="21"/>
  <c r="E32" i="21"/>
  <c r="E31" i="21"/>
  <c r="C28" i="21"/>
  <c r="E27" i="21"/>
  <c r="E26" i="21"/>
  <c r="E25" i="21"/>
  <c r="E24" i="21"/>
  <c r="D23" i="21"/>
  <c r="C23" i="21"/>
  <c r="E19" i="21"/>
  <c r="E18" i="21"/>
  <c r="C15" i="21"/>
  <c r="G14" i="21"/>
  <c r="F14" i="21"/>
  <c r="C75" i="20"/>
  <c r="D58" i="20"/>
  <c r="E58" i="20"/>
  <c r="G58" i="20" s="1"/>
  <c r="C58" i="20"/>
  <c r="D75" i="20"/>
  <c r="G14" i="20"/>
  <c r="G15" i="20"/>
  <c r="G16" i="20"/>
  <c r="G21" i="20"/>
  <c r="G22" i="20"/>
  <c r="G23" i="20"/>
  <c r="G24" i="20"/>
  <c r="G26" i="20"/>
  <c r="G27" i="20"/>
  <c r="G28" i="20"/>
  <c r="G29" i="20"/>
  <c r="G30" i="20"/>
  <c r="G31" i="20"/>
  <c r="G33" i="20"/>
  <c r="G34" i="20"/>
  <c r="G35" i="20"/>
  <c r="G36" i="20"/>
  <c r="G37" i="20"/>
  <c r="G38" i="20"/>
  <c r="G39" i="20"/>
  <c r="G40" i="20"/>
  <c r="G41" i="20"/>
  <c r="G42" i="20"/>
  <c r="G43" i="20"/>
  <c r="G45" i="20"/>
  <c r="G46" i="20"/>
  <c r="G47" i="20"/>
  <c r="G48" i="20"/>
  <c r="G49" i="20"/>
  <c r="G50" i="20"/>
  <c r="G54" i="20"/>
  <c r="G55" i="20"/>
  <c r="G56" i="20"/>
  <c r="G62" i="20"/>
  <c r="G65" i="20"/>
  <c r="G66" i="20"/>
  <c r="G67" i="20"/>
  <c r="G68" i="20"/>
  <c r="G69" i="20"/>
  <c r="G71" i="20"/>
  <c r="G73" i="20"/>
  <c r="G74" i="20"/>
  <c r="F14" i="20"/>
  <c r="F15" i="20"/>
  <c r="F16" i="20"/>
  <c r="F21" i="20"/>
  <c r="F22" i="20"/>
  <c r="F23" i="20"/>
  <c r="F24" i="20"/>
  <c r="F26" i="20"/>
  <c r="F27" i="20"/>
  <c r="F28" i="20"/>
  <c r="F29" i="20"/>
  <c r="F30" i="20"/>
  <c r="F31" i="20"/>
  <c r="F33" i="20"/>
  <c r="F34" i="20"/>
  <c r="F35" i="20"/>
  <c r="F36" i="20"/>
  <c r="F37" i="20"/>
  <c r="F38" i="20"/>
  <c r="F39" i="20"/>
  <c r="F40" i="20"/>
  <c r="F41" i="20"/>
  <c r="F42" i="20"/>
  <c r="F43" i="20"/>
  <c r="F45" i="20"/>
  <c r="F46" i="20"/>
  <c r="F47" i="20"/>
  <c r="F48" i="20"/>
  <c r="F49" i="20"/>
  <c r="F50" i="20"/>
  <c r="F54" i="20"/>
  <c r="F55" i="20"/>
  <c r="F56" i="20"/>
  <c r="F62" i="20"/>
  <c r="F65" i="20"/>
  <c r="F66" i="20"/>
  <c r="F67" i="20"/>
  <c r="F68" i="20"/>
  <c r="F69" i="20"/>
  <c r="F71" i="20"/>
  <c r="F73" i="20"/>
  <c r="F74" i="20"/>
  <c r="G12" i="19"/>
  <c r="G17" i="19"/>
  <c r="G22" i="19"/>
  <c r="G23" i="19"/>
  <c r="G29" i="19"/>
  <c r="G30" i="19"/>
  <c r="G33" i="19"/>
  <c r="G37" i="19"/>
  <c r="G39" i="19"/>
  <c r="G42" i="19"/>
  <c r="F12" i="19"/>
  <c r="F14" i="19"/>
  <c r="F15" i="19"/>
  <c r="F17" i="19"/>
  <c r="F19" i="19"/>
  <c r="F20" i="19"/>
  <c r="F21" i="19"/>
  <c r="F22" i="19"/>
  <c r="F23" i="19"/>
  <c r="F26" i="19"/>
  <c r="F29" i="19"/>
  <c r="F30" i="19"/>
  <c r="F32" i="19"/>
  <c r="F33" i="19"/>
  <c r="F36" i="19"/>
  <c r="F37" i="19"/>
  <c r="F39" i="19"/>
  <c r="F41" i="19"/>
  <c r="F42" i="19"/>
  <c r="D21" i="19"/>
  <c r="E21" i="19"/>
  <c r="G21" i="19" s="1"/>
  <c r="C21" i="19"/>
  <c r="E41" i="19"/>
  <c r="G41" i="19" s="1"/>
  <c r="E40" i="19"/>
  <c r="D40" i="19"/>
  <c r="D41" i="19"/>
  <c r="E16" i="19"/>
  <c r="D16" i="19"/>
  <c r="G20" i="19"/>
  <c r="D18" i="19"/>
  <c r="E18" i="19"/>
  <c r="E11" i="19"/>
  <c r="D11" i="19"/>
  <c r="G15" i="19"/>
  <c r="G14" i="19"/>
  <c r="E13" i="19"/>
  <c r="F13" i="19" s="1"/>
  <c r="D31" i="19"/>
  <c r="E25" i="19"/>
  <c r="D25" i="19"/>
  <c r="D24" i="19" s="1"/>
  <c r="E38" i="19"/>
  <c r="F38" i="19" s="1"/>
  <c r="D38" i="19"/>
  <c r="E31" i="19"/>
  <c r="C28" i="19"/>
  <c r="E28" i="19"/>
  <c r="D28" i="19"/>
  <c r="C35" i="19"/>
  <c r="C34" i="19" s="1"/>
  <c r="E35" i="19"/>
  <c r="G36" i="19"/>
  <c r="C10" i="19"/>
  <c r="D72" i="20"/>
  <c r="C72" i="20"/>
  <c r="D64" i="20"/>
  <c r="C64" i="20"/>
  <c r="E61" i="20"/>
  <c r="D61" i="20"/>
  <c r="C61" i="20"/>
  <c r="E53" i="20"/>
  <c r="D53" i="20"/>
  <c r="C53" i="20"/>
  <c r="D44" i="20"/>
  <c r="C44" i="20"/>
  <c r="D32" i="20"/>
  <c r="C32" i="20"/>
  <c r="D25" i="20"/>
  <c r="C25" i="20"/>
  <c r="D20" i="20"/>
  <c r="C20" i="20"/>
  <c r="C12" i="20"/>
  <c r="I11" i="20"/>
  <c r="H11" i="20"/>
  <c r="F9" i="16"/>
  <c r="F12" i="16" s="1"/>
  <c r="F6" i="16"/>
  <c r="G9" i="16"/>
  <c r="H9" i="16"/>
  <c r="G6" i="16"/>
  <c r="H6" i="16"/>
  <c r="E46" i="25" l="1"/>
  <c r="G32" i="19"/>
  <c r="G40" i="19"/>
  <c r="G16" i="19"/>
  <c r="F16" i="19"/>
  <c r="C44" i="19"/>
  <c r="C45" i="19" s="1"/>
  <c r="F28" i="19"/>
  <c r="G11" i="19"/>
  <c r="G38" i="19"/>
  <c r="G31" i="19"/>
  <c r="G25" i="19"/>
  <c r="F11" i="19"/>
  <c r="G26" i="19"/>
  <c r="D35" i="19"/>
  <c r="D34" i="19" s="1"/>
  <c r="F40" i="19"/>
  <c r="G19" i="19"/>
  <c r="D27" i="19"/>
  <c r="G18" i="19"/>
  <c r="G12" i="16"/>
  <c r="G23" i="16" s="1"/>
  <c r="E77" i="24"/>
  <c r="E16" i="24"/>
  <c r="D47" i="21"/>
  <c r="E47" i="21" s="1"/>
  <c r="E78" i="21"/>
  <c r="D28" i="21"/>
  <c r="E28" i="21" s="1"/>
  <c r="E29" i="21"/>
  <c r="D15" i="21"/>
  <c r="E15" i="21" s="1"/>
  <c r="E22" i="24"/>
  <c r="E74" i="24"/>
  <c r="E66" i="24"/>
  <c r="E55" i="24"/>
  <c r="D21" i="24"/>
  <c r="C21" i="24"/>
  <c r="C78" i="24" s="1"/>
  <c r="E14" i="24"/>
  <c r="E64" i="21"/>
  <c r="E75" i="21"/>
  <c r="E67" i="21"/>
  <c r="E63" i="22"/>
  <c r="E34" i="22"/>
  <c r="E27" i="22"/>
  <c r="E14" i="22"/>
  <c r="E74" i="22"/>
  <c r="E66" i="22"/>
  <c r="E55" i="22"/>
  <c r="D21" i="22"/>
  <c r="D78" i="22" s="1"/>
  <c r="E46" i="22"/>
  <c r="C21" i="22"/>
  <c r="C78" i="22" s="1"/>
  <c r="E77" i="22"/>
  <c r="E46" i="23"/>
  <c r="E34" i="23"/>
  <c r="E27" i="23"/>
  <c r="E66" i="23"/>
  <c r="E63" i="23"/>
  <c r="E55" i="23"/>
  <c r="D21" i="23"/>
  <c r="D78" i="23" s="1"/>
  <c r="C21" i="23"/>
  <c r="C78" i="23" s="1"/>
  <c r="E66" i="25"/>
  <c r="E63" i="25"/>
  <c r="E55" i="25"/>
  <c r="D21" i="25"/>
  <c r="E34" i="25"/>
  <c r="E27" i="25"/>
  <c r="E77" i="25"/>
  <c r="E22" i="25"/>
  <c r="C21" i="25"/>
  <c r="C78" i="25" s="1"/>
  <c r="D78" i="25"/>
  <c r="E34" i="24"/>
  <c r="E27" i="24"/>
  <c r="E14" i="23"/>
  <c r="E22" i="22"/>
  <c r="E61" i="21"/>
  <c r="E23" i="21"/>
  <c r="E56" i="21"/>
  <c r="C22" i="21"/>
  <c r="E35" i="21"/>
  <c r="F53" i="20"/>
  <c r="G53" i="20"/>
  <c r="F58" i="20"/>
  <c r="G61" i="20"/>
  <c r="F61" i="20"/>
  <c r="C19" i="20"/>
  <c r="C76" i="20" s="1"/>
  <c r="E20" i="20"/>
  <c r="G20" i="20" s="1"/>
  <c r="E72" i="20"/>
  <c r="G72" i="20" s="1"/>
  <c r="E44" i="20"/>
  <c r="G44" i="20" s="1"/>
  <c r="E64" i="20"/>
  <c r="G64" i="20" s="1"/>
  <c r="D19" i="20"/>
  <c r="E12" i="20"/>
  <c r="F12" i="20" s="1"/>
  <c r="E75" i="20"/>
  <c r="F75" i="20" s="1"/>
  <c r="F35" i="19"/>
  <c r="E34" i="19"/>
  <c r="E27" i="19"/>
  <c r="F27" i="19" s="1"/>
  <c r="F31" i="19"/>
  <c r="G28" i="19"/>
  <c r="F25" i="19"/>
  <c r="E24" i="19"/>
  <c r="F18" i="19"/>
  <c r="E10" i="19"/>
  <c r="D13" i="19"/>
  <c r="G13" i="19" s="1"/>
  <c r="E25" i="20"/>
  <c r="G25" i="20" s="1"/>
  <c r="E32" i="20"/>
  <c r="G32" i="20" s="1"/>
  <c r="D12" i="20"/>
  <c r="H12" i="16"/>
  <c r="H23" i="16" s="1"/>
  <c r="F64" i="20" l="1"/>
  <c r="G27" i="19"/>
  <c r="G35" i="19"/>
  <c r="E44" i="19"/>
  <c r="D10" i="19"/>
  <c r="D44" i="19" s="1"/>
  <c r="D45" i="19" s="1"/>
  <c r="D22" i="21"/>
  <c r="D79" i="21" s="1"/>
  <c r="E21" i="24"/>
  <c r="D78" i="24"/>
  <c r="E21" i="22"/>
  <c r="E21" i="23"/>
  <c r="E78" i="23"/>
  <c r="E21" i="25"/>
  <c r="E78" i="25"/>
  <c r="E78" i="22"/>
  <c r="C79" i="21"/>
  <c r="F44" i="20"/>
  <c r="F32" i="20"/>
  <c r="F25" i="20"/>
  <c r="G75" i="20"/>
  <c r="F72" i="20"/>
  <c r="F20" i="20"/>
  <c r="G12" i="20"/>
  <c r="D76" i="20"/>
  <c r="G34" i="19"/>
  <c r="F34" i="19"/>
  <c r="G24" i="19"/>
  <c r="F24" i="19"/>
  <c r="F10" i="19"/>
  <c r="E19" i="20"/>
  <c r="G19" i="20" s="1"/>
  <c r="G10" i="19" l="1"/>
  <c r="G44" i="19"/>
  <c r="F44" i="19"/>
  <c r="E45" i="19"/>
  <c r="E78" i="24"/>
  <c r="E22" i="21"/>
  <c r="E79" i="21"/>
  <c r="F19" i="20"/>
  <c r="E76" i="20"/>
  <c r="F76" i="20" s="1"/>
  <c r="G45" i="19" l="1"/>
  <c r="F45" i="19"/>
  <c r="G76" i="20"/>
</calcChain>
</file>

<file path=xl/sharedStrings.xml><?xml version="1.0" encoding="utf-8"?>
<sst xmlns="http://schemas.openxmlformats.org/spreadsheetml/2006/main" count="696" uniqueCount="177">
  <si>
    <t xml:space="preserve"> Procjena 2005.</t>
  </si>
  <si>
    <t xml:space="preserve"> Procjena 2006.</t>
  </si>
  <si>
    <t>UKUPNO A/Tpr./Kpr.</t>
  </si>
  <si>
    <t>Sveukupno KP</t>
  </si>
  <si>
    <t>Račun 
rashoda/
izdatka</t>
  </si>
  <si>
    <t xml:space="preserve">Korisnik proračuna              OSNOVNA ŠKOLA BARTULA KAŠIĆA </t>
  </si>
  <si>
    <t>RASHODI ZA ZAPOSLENE</t>
  </si>
  <si>
    <t>PLAĆE (BRUTO)</t>
  </si>
  <si>
    <t>Ostali rashodi za zaposlene</t>
  </si>
  <si>
    <t>MATERIJALNI RASHODI</t>
  </si>
  <si>
    <t>Nakn.trošk,osob.izv.rad.odn.</t>
  </si>
  <si>
    <t>Ostali nespom.rash.poslov.</t>
  </si>
  <si>
    <t>Dodat.ulag.na građev.objekt.</t>
  </si>
  <si>
    <t>DODATNA ULAGANJA</t>
  </si>
  <si>
    <t>Dodat.ulag.na postr. i opremi</t>
  </si>
  <si>
    <t>3721/2</t>
  </si>
  <si>
    <t>RASHODI POSLOVANJA</t>
  </si>
  <si>
    <t>Plaće za redovan rad</t>
  </si>
  <si>
    <t>Doprin.za zdrav.osiguranje</t>
  </si>
  <si>
    <t>Službena putovanja</t>
  </si>
  <si>
    <t>Naknade za prijevoz</t>
  </si>
  <si>
    <t>Struč.usavršav.zaposlen.</t>
  </si>
  <si>
    <t>Ostale nakn.trošk.zaposl.</t>
  </si>
  <si>
    <t>Uredski mater.i ost.mat.rash.</t>
  </si>
  <si>
    <t>Materijal i sirovine</t>
  </si>
  <si>
    <t>Energija</t>
  </si>
  <si>
    <t>Mat.i dij.za tek.i invest.održ.</t>
  </si>
  <si>
    <t>Sitni inventar i auto gume</t>
  </si>
  <si>
    <t>Služ.rad.i zašt.odj.i obuća</t>
  </si>
  <si>
    <t>Usluge telefona,pošte i prijev.</t>
  </si>
  <si>
    <t>Usl.tekuć.i invest.održavanja</t>
  </si>
  <si>
    <t>Usl.promidžbe i informir.</t>
  </si>
  <si>
    <t>Komunalne usluge</t>
  </si>
  <si>
    <t>Zakupnine i najamnine</t>
  </si>
  <si>
    <t>Zdravstvene usluge</t>
  </si>
  <si>
    <t>Intelektual.i osob.usluge</t>
  </si>
  <si>
    <t>Računalne usluge</t>
  </si>
  <si>
    <t>Ostale usluge</t>
  </si>
  <si>
    <t>Nakn.članov.povjerenst.</t>
  </si>
  <si>
    <t>Premije osiguranja</t>
  </si>
  <si>
    <t>Reprezentacija</t>
  </si>
  <si>
    <t>Članarine</t>
  </si>
  <si>
    <t>Pristojbe i naknade</t>
  </si>
  <si>
    <t>Bankar.usl.i usl.plat.prometa</t>
  </si>
  <si>
    <t>Negativne teč. razlike</t>
  </si>
  <si>
    <t>Zatezne kamate</t>
  </si>
  <si>
    <t>Naknade građ i kućanstvima u novcu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</si>
  <si>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</si>
  <si>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</si>
  <si>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</si>
  <si>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</si>
  <si>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</si>
  <si>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 u knjižnici/udžbenici</t>
  </si>
  <si>
    <t>OSTALI FIN RASHODI</t>
  </si>
  <si>
    <t>OSTALE NAKNADE GRAĐ I KUĆ IZ PRORAČUNA</t>
  </si>
  <si>
    <t>POSTROJENJA I OPREMA</t>
  </si>
  <si>
    <t>(proračunski/izvanproračunski)          ZADAR, BRIBIRSKI PRILAZ 2</t>
  </si>
  <si>
    <t>6</t>
  </si>
  <si>
    <t>Naziv računa</t>
  </si>
  <si>
    <t>5</t>
  </si>
  <si>
    <t>PO EKONOMSKOJ KLASIFIKACIJI</t>
  </si>
  <si>
    <t>Račun 
prihoda/
primitaka</t>
  </si>
  <si>
    <t>Prihodi iz nadležnog proračuna za financiranje rashoda poslovanja</t>
  </si>
  <si>
    <t>Prihodi iz nadležnog proračuna za financiranje rashoda za nabavu nefinancijske imovine</t>
  </si>
  <si>
    <t>Prihodi iz nadležnog proračuna i od HZZO-a temeljem ugovornih obveza</t>
  </si>
  <si>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</si>
  <si>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</si>
  <si>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</si>
  <si>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</si>
  <si>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</si>
  <si>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</si>
  <si>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</si>
  <si>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</si>
  <si>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UKUPAN DONOS VIŠKA/MANJKA IZ PRETHODNE(IH) GODINA*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</si>
  <si>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</si>
  <si>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</si>
  <si>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</si>
  <si>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</si>
  <si>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</si>
  <si>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prethodne godine</t>
  </si>
  <si>
    <t>Plan tekuće godine</t>
  </si>
  <si>
    <t>Izvršenje tekuće godine</t>
  </si>
  <si>
    <t>PRIHODI/RASHODI TEKUĆA GODINA</t>
  </si>
  <si>
    <t>VIŠKOVI/MANJKOVI</t>
  </si>
  <si>
    <t>RAČUN FINANCIRANJA</t>
  </si>
  <si>
    <t>Ostvarenje/ izvršenje prethodne godine</t>
  </si>
  <si>
    <t>Tekući plan</t>
  </si>
  <si>
    <t xml:space="preserve">Tekući plan </t>
  </si>
  <si>
    <t>Ostvarenje/ izvršenje tekuće godine</t>
  </si>
  <si>
    <t>4</t>
  </si>
  <si>
    <t>Pomoći iz inozemstva i od subjekata unutar općeg proračuna</t>
  </si>
  <si>
    <t>Pomoći od izvanproračunskih korisnika</t>
  </si>
  <si>
    <t xml:space="preserve">Tekuće pomoći od izvanproračunskih korisnika 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</si>
  <si>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</si>
  <si>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</si>
  <si>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</si>
  <si>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</si>
  <si>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</si>
  <si>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</si>
  <si>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</si>
  <si>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</si>
  <si>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imovine</t>
  </si>
  <si>
    <t>Kamate na oročena sredstva i depozite po viđenju</t>
  </si>
  <si>
    <t>Prihodi od pozitivnih tečajnih razlika i razlika zbog primjene valutne klauzule</t>
  </si>
  <si>
    <t>Prihodi od upravnih i administrativnih pristojbi, pristojbi po posebnim propisima i naknada</t>
  </si>
  <si>
    <t>Prihodi po posebnim propisima</t>
  </si>
  <si>
    <t xml:space="preserve">Ostali nespomenuti prihodi </t>
  </si>
  <si>
    <t>Prihodi od prodaje proizvoda i robe te pruženih usluga i prihodi od donacija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</si>
  <si>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</si>
  <si>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</si>
  <si>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</si>
  <si>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</si>
  <si>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</si>
  <si>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</si>
  <si>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za financiranje redovne djelatnosti proračunskih korisnika</t>
  </si>
  <si>
    <t>Kazne, upravne mjere i ostali prihodi</t>
  </si>
  <si>
    <t>Ostali prihodi</t>
  </si>
  <si>
    <t>Prihodi od prodaje nefinancijske imovine</t>
  </si>
  <si>
    <t>Prihodi od prodaje proizvedene dugotrajne imovine</t>
  </si>
  <si>
    <t>Prijevozna sredstva u cestovnom prometu</t>
  </si>
  <si>
    <t>INDEKS (4/2*100)</t>
  </si>
  <si>
    <t>INDEKS (4/3*100)</t>
  </si>
  <si>
    <t>PRIHODI I PRIMICI</t>
  </si>
  <si>
    <t>RASHODI I IZDACI</t>
  </si>
  <si>
    <t>PRIJENOSI IZMEĐU PRORAČ KORISNIKA ISTOG PRORAČUNA</t>
  </si>
  <si>
    <t>Tekući prijenosi između pror kor istog pror temeljem prijenosa EU sredstava</t>
  </si>
  <si>
    <t>PO IZVORIMA FINANCIRANJA, EKONOMSKOJ I PROGRAMSKOJ KLASIFIKACIJI</t>
  </si>
  <si>
    <t xml:space="preserve">Ostvarenje/ izvršenje </t>
  </si>
  <si>
    <t>3</t>
  </si>
  <si>
    <t>INDEKS (3/2*100)</t>
  </si>
  <si>
    <t>IZVOR FINANCIRANJA 1 OPĆI PRIHODI I PRIMICI</t>
  </si>
  <si>
    <t>IZVOR FINANCIRANJA 4 PRIHODI ZA POSEBNE NAMJENE</t>
  </si>
  <si>
    <t>IZVOR FINANCIRANJA 5 POMOĆI</t>
  </si>
  <si>
    <t>IZVOR FINANCIRANJA 6 DONACIJE</t>
  </si>
  <si>
    <t>Rezultat poslovanja</t>
  </si>
  <si>
    <t>UKUPNI PRIHODI</t>
  </si>
  <si>
    <t>UKUPNI PRIHODI+VIŠAK KORIŠTEN ZA POKRIĆE RASHODA</t>
  </si>
  <si>
    <t>PREGLED UKUPNIH PRIHODA I RASHODA</t>
  </si>
  <si>
    <t>PO IZVORIMA FINANCIRANJA</t>
  </si>
  <si>
    <t>Oznaka IF</t>
  </si>
  <si>
    <t>Naziv izvora financiranja</t>
  </si>
  <si>
    <t>OPĆI PRIHODI I PRIMICI</t>
  </si>
  <si>
    <t>PRIHODI</t>
  </si>
  <si>
    <t>RASHODI</t>
  </si>
  <si>
    <t>KORIŠTENI REZULTAT</t>
  </si>
  <si>
    <t>VLASTITI PRIHODI</t>
  </si>
  <si>
    <t>VIŠAK PRIHODA KORIŠTEN ZA POKRIĆE RASHODA</t>
  </si>
  <si>
    <t>PRIHODI ZA POSEBNE NAMJENE</t>
  </si>
  <si>
    <t>POMOĆI</t>
  </si>
  <si>
    <t>DONACIJE</t>
  </si>
  <si>
    <t>PRIHODI OD NEF IMOVINE</t>
  </si>
  <si>
    <t>UKUPNI RASHODI</t>
  </si>
  <si>
    <t>KORIŠTENI VIŠAK ZA POKRIĆE RASHODA TEKUĆE GODINE</t>
  </si>
  <si>
    <t>PROGRAM</t>
  </si>
  <si>
    <t>REDOVNA DJELATNOST</t>
  </si>
  <si>
    <t>PB 652</t>
  </si>
  <si>
    <t>UZ MARAŠKA 6614</t>
  </si>
  <si>
    <t>NAJAM 6615</t>
  </si>
  <si>
    <t>ERASMUS 6381</t>
  </si>
  <si>
    <t>TUR 636</t>
  </si>
  <si>
    <t>BUS 7</t>
  </si>
  <si>
    <t>OST PRIH 6811</t>
  </si>
  <si>
    <t>ŽUP 636</t>
  </si>
  <si>
    <t>PROJ PREH 639</t>
  </si>
  <si>
    <t>PRODUŽENI BORAVAK, ŠTETE UČENIKA, STRUČNI ISPITI HRV JEZIK</t>
  </si>
  <si>
    <t>MZO PLAĆE I OSTALI RASHODI (UDŽBENICI, MENTORSTVA, TUR…), AZOO ŽSV</t>
  </si>
  <si>
    <t>PROJEKT PREHRANE, POMOĆNICI U NASTAVI, ŠKOLSKA SHEMA</t>
  </si>
  <si>
    <t>DONACIJE TRGOVAČKIH DRUŠTAVA I FIZIČKIH OSOBA ZA UČENIČKE PROGRAME</t>
  </si>
  <si>
    <t>PRIJEDLOG IZVRŠENJA FINANCIJSKOG PLANA OŠ BARTULA KAŠIĆA  ZA  12 2022</t>
  </si>
  <si>
    <t xml:space="preserve">INDEKS </t>
  </si>
  <si>
    <t>VIŠKOVI 2021.</t>
  </si>
  <si>
    <t>IZVORI</t>
  </si>
  <si>
    <t>Račun 
rashoda</t>
  </si>
  <si>
    <t>HZZ PRIPR 6341</t>
  </si>
  <si>
    <t>HZZ PRIPRAVNICA, PROJEKT ERASMUS +</t>
  </si>
  <si>
    <t>IZVOR FINANCIRANJA 3 VLASTITI PRIHODI</t>
  </si>
  <si>
    <t>NAJAM DVORANE, UZ MARAŠKA, PRIPIS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</si>
</sst>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4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4"/>
      <name val="Times New Roman"/>
      <family val="1"/>
      <charset val="238"/>
    </font>
    <font>
      <i/>
      <sz val="11"/>
      <color theme="4"/>
      <name val="Times New Roman"/>
      <family val="1"/>
      <charset val="238"/>
    </font>
    <font>
      <b/>
      <sz val="11"/>
      <color theme="3" tint="0.39997558519241921"/>
      <name val="Times New Roman"/>
      <family val="1"/>
      <charset val="238"/>
    </font>
    <font>
      <b/>
      <i/>
      <sz val="11"/>
      <color theme="3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241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wrapText="1"/>
    </xf>
    <xf numFmtId="3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3" fontId="5" fillId="0" borderId="0" xfId="0" applyNumberFormat="1" applyFont="1" applyFill="1" applyAlignment="1">
      <alignment wrapText="1"/>
    </xf>
    <xf numFmtId="3" fontId="6" fillId="0" borderId="0" xfId="0" applyNumberFormat="1" applyFont="1"/>
    <xf numFmtId="3" fontId="2" fillId="0" borderId="0" xfId="0" applyNumberFormat="1" applyFont="1" applyAlignment="1">
      <alignment wrapTex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3" fontId="12" fillId="2" borderId="8" xfId="0" applyNumberFormat="1" applyFont="1" applyFill="1" applyBorder="1" applyAlignment="1">
      <alignment horizontal="right"/>
    </xf>
    <xf numFmtId="0" fontId="11" fillId="0" borderId="8" xfId="0" applyNumberFormat="1" applyFont="1" applyFill="1" applyBorder="1" applyAlignment="1" applyProtection="1"/>
    <xf numFmtId="3" fontId="2" fillId="0" borderId="0" xfId="0" quotePrefix="1" applyNumberFormat="1" applyFont="1" applyBorder="1" applyAlignment="1">
      <alignment horizontal="center" wrapText="1"/>
    </xf>
    <xf numFmtId="0" fontId="16" fillId="2" borderId="8" xfId="0" applyNumberFormat="1" applyFont="1" applyFill="1" applyBorder="1" applyAlignment="1" applyProtection="1">
      <alignment wrapText="1"/>
    </xf>
    <xf numFmtId="0" fontId="16" fillId="0" borderId="8" xfId="0" applyNumberFormat="1" applyFont="1" applyFill="1" applyBorder="1" applyAlignment="1" applyProtection="1">
      <alignment wrapText="1"/>
    </xf>
    <xf numFmtId="0" fontId="12" fillId="0" borderId="8" xfId="0" quotePrefix="1" applyFont="1" applyBorder="1" applyAlignment="1">
      <alignment horizontal="center"/>
    </xf>
    <xf numFmtId="0" fontId="12" fillId="0" borderId="8" xfId="0" quotePrefix="1" applyFont="1" applyBorder="1" applyAlignment="1">
      <alignment horizontal="center" vertical="center" wrapText="1"/>
    </xf>
    <xf numFmtId="4" fontId="12" fillId="2" borderId="8" xfId="0" applyNumberFormat="1" applyFont="1" applyFill="1" applyBorder="1" applyAlignment="1" applyProtection="1">
      <alignment horizontal="center" wrapText="1"/>
    </xf>
    <xf numFmtId="4" fontId="13" fillId="0" borderId="8" xfId="0" applyNumberFormat="1" applyFont="1" applyFill="1" applyBorder="1" applyAlignment="1" applyProtection="1">
      <alignment horizontal="center" wrapText="1"/>
    </xf>
    <xf numFmtId="4" fontId="13" fillId="0" borderId="8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right"/>
    </xf>
    <xf numFmtId="4" fontId="13" fillId="2" borderId="6" xfId="0" applyNumberFormat="1" applyFont="1" applyFill="1" applyBorder="1" applyAlignment="1" applyProtection="1">
      <alignment horizontal="center" wrapText="1"/>
    </xf>
    <xf numFmtId="4" fontId="13" fillId="2" borderId="6" xfId="0" applyNumberFormat="1" applyFont="1" applyFill="1" applyBorder="1" applyAlignment="1">
      <alignment horizontal="center"/>
    </xf>
    <xf numFmtId="4" fontId="7" fillId="0" borderId="8" xfId="0" applyNumberFormat="1" applyFont="1" applyFill="1" applyBorder="1" applyAlignment="1" applyProtection="1">
      <alignment horizontal="center"/>
    </xf>
    <xf numFmtId="4" fontId="7" fillId="0" borderId="8" xfId="0" applyNumberFormat="1" applyFont="1" applyFill="1" applyBorder="1" applyAlignment="1" applyProtection="1">
      <alignment horizont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left" vertical="center" wrapText="1"/>
    </xf>
    <xf numFmtId="0" fontId="20" fillId="0" borderId="8" xfId="2" applyFont="1" applyFill="1" applyBorder="1" applyAlignment="1">
      <alignment horizontal="center" vertical="center" wrapText="1"/>
    </xf>
    <xf numFmtId="0" fontId="20" fillId="0" borderId="8" xfId="2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1" fontId="24" fillId="0" borderId="8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4" fontId="19" fillId="0" borderId="8" xfId="0" applyNumberFormat="1" applyFont="1" applyBorder="1" applyAlignment="1">
      <alignment horizontal="center" vertical="center"/>
    </xf>
    <xf numFmtId="4" fontId="22" fillId="0" borderId="8" xfId="0" applyNumberFormat="1" applyFont="1" applyFill="1" applyBorder="1" applyAlignment="1">
      <alignment horizontal="center" vertical="center"/>
    </xf>
    <xf numFmtId="4" fontId="20" fillId="0" borderId="8" xfId="0" applyNumberFormat="1" applyFont="1" applyBorder="1" applyAlignment="1">
      <alignment horizontal="center" vertical="center"/>
    </xf>
    <xf numFmtId="4" fontId="23" fillId="0" borderId="8" xfId="0" applyNumberFormat="1" applyFont="1" applyFill="1" applyBorder="1" applyAlignment="1">
      <alignment horizontal="center" vertical="center"/>
    </xf>
    <xf numFmtId="4" fontId="19" fillId="0" borderId="8" xfId="0" applyNumberFormat="1" applyFont="1" applyBorder="1" applyAlignment="1">
      <alignment horizontal="center"/>
    </xf>
    <xf numFmtId="4" fontId="20" fillId="0" borderId="8" xfId="0" applyNumberFormat="1" applyFont="1" applyBorder="1" applyAlignment="1">
      <alignment horizontal="center"/>
    </xf>
    <xf numFmtId="4" fontId="20" fillId="0" borderId="8" xfId="0" applyNumberFormat="1" applyFont="1" applyBorder="1" applyAlignment="1">
      <alignment horizontal="center" wrapText="1"/>
    </xf>
    <xf numFmtId="4" fontId="19" fillId="0" borderId="8" xfId="0" applyNumberFormat="1" applyFont="1" applyBorder="1" applyAlignment="1">
      <alignment horizontal="center" wrapText="1"/>
    </xf>
    <xf numFmtId="0" fontId="21" fillId="0" borderId="8" xfId="0" applyFont="1" applyFill="1" applyBorder="1" applyAlignment="1">
      <alignment horizontal="center" vertical="center"/>
    </xf>
    <xf numFmtId="0" fontId="25" fillId="0" borderId="0" xfId="0" applyNumberFormat="1" applyFont="1" applyAlignment="1">
      <alignment horizontal="center"/>
    </xf>
    <xf numFmtId="3" fontId="25" fillId="0" borderId="0" xfId="0" applyNumberFormat="1" applyFont="1"/>
    <xf numFmtId="0" fontId="25" fillId="0" borderId="0" xfId="0" applyFont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3" fontId="30" fillId="0" borderId="3" xfId="0" quotePrefix="1" applyNumberFormat="1" applyFont="1" applyBorder="1" applyAlignment="1">
      <alignment horizontal="left"/>
    </xf>
    <xf numFmtId="3" fontId="25" fillId="0" borderId="2" xfId="0" applyNumberFormat="1" applyFont="1" applyBorder="1"/>
    <xf numFmtId="3" fontId="25" fillId="0" borderId="2" xfId="0" applyNumberFormat="1" applyFont="1" applyBorder="1" applyAlignment="1">
      <alignment horizontal="center"/>
    </xf>
    <xf numFmtId="3" fontId="29" fillId="0" borderId="2" xfId="0" applyNumberFormat="1" applyFont="1" applyFill="1" applyBorder="1" applyAlignment="1">
      <alignment horizontal="center" wrapText="1"/>
    </xf>
    <xf numFmtId="3" fontId="25" fillId="0" borderId="2" xfId="0" applyNumberFormat="1" applyFont="1" applyBorder="1" applyAlignment="1">
      <alignment horizontal="center" wrapText="1"/>
    </xf>
    <xf numFmtId="3" fontId="25" fillId="0" borderId="0" xfId="0" applyNumberFormat="1" applyFont="1" applyAlignment="1">
      <alignment horizontal="left"/>
    </xf>
    <xf numFmtId="3" fontId="25" fillId="0" borderId="0" xfId="0" applyNumberFormat="1" applyFont="1" applyAlignment="1">
      <alignment horizontal="center"/>
    </xf>
    <xf numFmtId="3" fontId="29" fillId="0" borderId="0" xfId="0" applyNumberFormat="1" applyFont="1" applyFill="1" applyAlignment="1">
      <alignment horizontal="center" wrapText="1"/>
    </xf>
    <xf numFmtId="3" fontId="25" fillId="0" borderId="0" xfId="0" applyNumberFormat="1" applyFont="1" applyAlignment="1">
      <alignment horizontal="center" wrapText="1"/>
    </xf>
    <xf numFmtId="3" fontId="31" fillId="0" borderId="0" xfId="0" quotePrefix="1" applyNumberFormat="1" applyFont="1" applyAlignment="1">
      <alignment horizontal="left"/>
    </xf>
    <xf numFmtId="0" fontId="31" fillId="0" borderId="1" xfId="0" applyNumberFormat="1" applyFont="1" applyBorder="1" applyAlignment="1">
      <alignment horizontal="center"/>
    </xf>
    <xf numFmtId="0" fontId="32" fillId="0" borderId="1" xfId="0" applyNumberFormat="1" applyFont="1" applyFill="1" applyBorder="1" applyAlignment="1">
      <alignment horizontal="center"/>
    </xf>
    <xf numFmtId="49" fontId="31" fillId="0" borderId="1" xfId="0" applyNumberFormat="1" applyFont="1" applyBorder="1" applyAlignment="1">
      <alignment horizontal="center"/>
    </xf>
    <xf numFmtId="0" fontId="31" fillId="0" borderId="3" xfId="0" applyNumberFormat="1" applyFont="1" applyBorder="1" applyAlignment="1">
      <alignment horizontal="center"/>
    </xf>
    <xf numFmtId="0" fontId="31" fillId="0" borderId="1" xfId="0" applyNumberFormat="1" applyFont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3" fontId="31" fillId="0" borderId="1" xfId="0" quotePrefix="1" applyNumberFormat="1" applyFont="1" applyBorder="1" applyAlignment="1">
      <alignment horizontal="center" wrapText="1"/>
    </xf>
    <xf numFmtId="3" fontId="25" fillId="0" borderId="0" xfId="0" applyNumberFormat="1" applyFont="1" applyAlignment="1">
      <alignment wrapText="1"/>
    </xf>
    <xf numFmtId="3" fontId="29" fillId="0" borderId="2" xfId="0" applyNumberFormat="1" applyFont="1" applyFill="1" applyBorder="1" applyAlignment="1">
      <alignment wrapText="1"/>
    </xf>
    <xf numFmtId="3" fontId="25" fillId="0" borderId="2" xfId="0" applyNumberFormat="1" applyFont="1" applyBorder="1" applyAlignment="1">
      <alignment wrapText="1"/>
    </xf>
    <xf numFmtId="3" fontId="29" fillId="0" borderId="0" xfId="0" applyNumberFormat="1" applyFont="1" applyFill="1" applyAlignment="1">
      <alignment wrapText="1"/>
    </xf>
    <xf numFmtId="0" fontId="32" fillId="0" borderId="3" xfId="0" applyNumberFormat="1" applyFont="1" applyFill="1" applyBorder="1" applyAlignment="1">
      <alignment horizontal="center" wrapText="1"/>
    </xf>
    <xf numFmtId="0" fontId="31" fillId="0" borderId="3" xfId="0" applyNumberFormat="1" applyFont="1" applyBorder="1" applyAlignment="1">
      <alignment horizontal="center" wrapText="1"/>
    </xf>
    <xf numFmtId="0" fontId="32" fillId="0" borderId="3" xfId="0" applyNumberFormat="1" applyFont="1" applyFill="1" applyBorder="1" applyAlignment="1">
      <alignment horizontal="center"/>
    </xf>
    <xf numFmtId="49" fontId="31" fillId="0" borderId="3" xfId="0" applyNumberFormat="1" applyFont="1" applyBorder="1" applyAlignment="1">
      <alignment horizontal="center"/>
    </xf>
    <xf numFmtId="0" fontId="31" fillId="0" borderId="0" xfId="0" applyNumberFormat="1" applyFont="1" applyBorder="1" applyAlignment="1">
      <alignment horizontal="center" vertical="center" wrapText="1"/>
    </xf>
    <xf numFmtId="3" fontId="32" fillId="0" borderId="0" xfId="0" applyNumberFormat="1" applyFont="1" applyFill="1" applyBorder="1" applyAlignment="1">
      <alignment horizontal="center" vertical="center" wrapText="1"/>
    </xf>
    <xf numFmtId="3" fontId="31" fillId="0" borderId="0" xfId="0" applyNumberFormat="1" applyFont="1" applyAlignment="1">
      <alignment vertical="center"/>
    </xf>
    <xf numFmtId="3" fontId="31" fillId="0" borderId="0" xfId="0" applyNumberFormat="1" applyFont="1"/>
    <xf numFmtId="0" fontId="31" fillId="0" borderId="0" xfId="0" applyNumberFormat="1" applyFont="1" applyAlignment="1">
      <alignment horizontal="center" vertical="center"/>
    </xf>
    <xf numFmtId="4" fontId="32" fillId="0" borderId="0" xfId="0" applyNumberFormat="1" applyFont="1" applyFill="1" applyAlignment="1">
      <alignment horizontal="right" vertical="center"/>
    </xf>
    <xf numFmtId="4" fontId="32" fillId="0" borderId="0" xfId="0" applyNumberFormat="1" applyFont="1" applyFill="1" applyAlignment="1">
      <alignment vertical="center"/>
    </xf>
    <xf numFmtId="0" fontId="25" fillId="0" borderId="4" xfId="0" applyNumberFormat="1" applyFont="1" applyBorder="1" applyAlignment="1">
      <alignment horizontal="center" vertical="center"/>
    </xf>
    <xf numFmtId="0" fontId="25" fillId="0" borderId="4" xfId="0" applyNumberFormat="1" applyFont="1" applyBorder="1" applyAlignment="1">
      <alignment vertical="center"/>
    </xf>
    <xf numFmtId="4" fontId="25" fillId="0" borderId="4" xfId="0" applyNumberFormat="1" applyFont="1" applyBorder="1" applyAlignment="1">
      <alignment horizontal="right" vertical="center"/>
    </xf>
    <xf numFmtId="4" fontId="29" fillId="0" borderId="4" xfId="0" applyNumberFormat="1" applyFont="1" applyFill="1" applyBorder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4" xfId="0" applyNumberFormat="1" applyFont="1" applyBorder="1" applyAlignment="1">
      <alignment horizontal="left" vertical="center"/>
    </xf>
    <xf numFmtId="4" fontId="25" fillId="0" borderId="4" xfId="0" applyNumberFormat="1" applyFont="1" applyBorder="1" applyAlignment="1">
      <alignment vertical="center"/>
    </xf>
    <xf numFmtId="0" fontId="25" fillId="0" borderId="4" xfId="0" quotePrefix="1" applyNumberFormat="1" applyFont="1" applyBorder="1" applyAlignment="1">
      <alignment horizontal="left" vertical="center"/>
    </xf>
    <xf numFmtId="4" fontId="25" fillId="0" borderId="4" xfId="0" quotePrefix="1" applyNumberFormat="1" applyFont="1" applyBorder="1" applyAlignment="1">
      <alignment horizontal="right" vertical="center"/>
    </xf>
    <xf numFmtId="4" fontId="31" fillId="0" borderId="4" xfId="0" applyNumberFormat="1" applyFont="1" applyBorder="1" applyAlignment="1">
      <alignment vertical="center"/>
    </xf>
    <xf numFmtId="0" fontId="31" fillId="0" borderId="4" xfId="0" applyNumberFormat="1" applyFont="1" applyBorder="1" applyAlignment="1">
      <alignment horizontal="center" vertical="center"/>
    </xf>
    <xf numFmtId="0" fontId="31" fillId="0" borderId="4" xfId="0" applyNumberFormat="1" applyFont="1" applyBorder="1" applyAlignment="1">
      <alignment horizontal="left" vertical="center"/>
    </xf>
    <xf numFmtId="4" fontId="32" fillId="0" borderId="4" xfId="0" applyNumberFormat="1" applyFont="1" applyFill="1" applyBorder="1" applyAlignment="1">
      <alignment horizontal="right" vertical="center"/>
    </xf>
    <xf numFmtId="4" fontId="32" fillId="0" borderId="4" xfId="0" applyNumberFormat="1" applyFont="1" applyFill="1" applyBorder="1" applyAlignment="1">
      <alignment vertical="center"/>
    </xf>
    <xf numFmtId="0" fontId="33" fillId="0" borderId="4" xfId="0" applyNumberFormat="1" applyFont="1" applyBorder="1" applyAlignment="1">
      <alignment horizontal="center" vertical="center"/>
    </xf>
    <xf numFmtId="0" fontId="33" fillId="0" borderId="4" xfId="0" applyNumberFormat="1" applyFont="1" applyBorder="1" applyAlignment="1">
      <alignment horizontal="left" vertical="center"/>
    </xf>
    <xf numFmtId="4" fontId="33" fillId="0" borderId="4" xfId="0" applyNumberFormat="1" applyFont="1" applyFill="1" applyBorder="1" applyAlignment="1">
      <alignment horizontal="right" vertical="center"/>
    </xf>
    <xf numFmtId="4" fontId="33" fillId="0" borderId="4" xfId="0" applyNumberFormat="1" applyFont="1" applyFill="1" applyBorder="1" applyAlignment="1">
      <alignment vertical="center"/>
    </xf>
    <xf numFmtId="3" fontId="34" fillId="0" borderId="0" xfId="0" applyNumberFormat="1" applyFont="1"/>
    <xf numFmtId="0" fontId="34" fillId="0" borderId="4" xfId="0" applyNumberFormat="1" applyFont="1" applyBorder="1" applyAlignment="1">
      <alignment vertical="center"/>
    </xf>
    <xf numFmtId="4" fontId="25" fillId="0" borderId="5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4" fontId="25" fillId="0" borderId="0" xfId="0" applyNumberFormat="1" applyFont="1"/>
    <xf numFmtId="0" fontId="35" fillId="0" borderId="4" xfId="0" applyNumberFormat="1" applyFont="1" applyBorder="1" applyAlignment="1">
      <alignment horizontal="center" vertical="center"/>
    </xf>
    <xf numFmtId="0" fontId="36" fillId="0" borderId="4" xfId="0" applyNumberFormat="1" applyFont="1" applyBorder="1" applyAlignment="1">
      <alignment vertical="center" wrapText="1"/>
    </xf>
    <xf numFmtId="4" fontId="36" fillId="0" borderId="4" xfId="0" applyNumberFormat="1" applyFont="1" applyBorder="1" applyAlignment="1">
      <alignment horizontal="right" vertical="center"/>
    </xf>
    <xf numFmtId="0" fontId="25" fillId="0" borderId="4" xfId="0" applyNumberFormat="1" applyFont="1" applyBorder="1" applyAlignment="1">
      <alignment vertical="center" wrapText="1"/>
    </xf>
    <xf numFmtId="0" fontId="33" fillId="0" borderId="4" xfId="0" applyNumberFormat="1" applyFont="1" applyBorder="1" applyAlignment="1">
      <alignment vertical="center"/>
    </xf>
    <xf numFmtId="0" fontId="25" fillId="0" borderId="4" xfId="0" applyNumberFormat="1" applyFont="1" applyBorder="1" applyAlignment="1">
      <alignment horizontal="left" vertical="center" wrapText="1"/>
    </xf>
    <xf numFmtId="4" fontId="25" fillId="0" borderId="4" xfId="0" applyNumberFormat="1" applyFont="1" applyBorder="1" applyAlignment="1">
      <alignment horizontal="right" vertical="center" wrapText="1"/>
    </xf>
    <xf numFmtId="4" fontId="31" fillId="0" borderId="4" xfId="0" applyNumberFormat="1" applyFont="1" applyBorder="1" applyAlignment="1">
      <alignment horizontal="right" vertical="center"/>
    </xf>
    <xf numFmtId="4" fontId="31" fillId="0" borderId="0" xfId="0" applyNumberFormat="1" applyFont="1"/>
    <xf numFmtId="0" fontId="25" fillId="0" borderId="0" xfId="0" applyNumberFormat="1" applyFont="1" applyAlignment="1">
      <alignment horizontal="center" vertical="center"/>
    </xf>
    <xf numFmtId="0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9" fillId="0" borderId="0" xfId="0" applyNumberFormat="1" applyFont="1" applyFill="1" applyAlignment="1">
      <alignment vertical="center"/>
    </xf>
    <xf numFmtId="0" fontId="25" fillId="0" borderId="1" xfId="0" applyNumberFormat="1" applyFont="1" applyBorder="1" applyAlignment="1">
      <alignment horizontal="center" vertical="center"/>
    </xf>
    <xf numFmtId="0" fontId="31" fillId="0" borderId="1" xfId="0" quotePrefix="1" applyNumberFormat="1" applyFont="1" applyBorder="1" applyAlignment="1">
      <alignment horizontal="left" vertical="center"/>
    </xf>
    <xf numFmtId="4" fontId="32" fillId="0" borderId="1" xfId="0" applyNumberFormat="1" applyFont="1" applyFill="1" applyBorder="1" applyAlignment="1">
      <alignment vertical="center"/>
    </xf>
    <xf numFmtId="3" fontId="31" fillId="0" borderId="1" xfId="0" quotePrefix="1" applyNumberFormat="1" applyFont="1" applyBorder="1" applyAlignment="1">
      <alignment horizontal="center" vertical="center"/>
    </xf>
    <xf numFmtId="3" fontId="31" fillId="0" borderId="1" xfId="0" quotePrefix="1" applyNumberFormat="1" applyFont="1" applyBorder="1" applyAlignment="1">
      <alignment horizontal="left" vertical="center"/>
    </xf>
    <xf numFmtId="4" fontId="3" fillId="0" borderId="0" xfId="0" applyNumberFormat="1" applyFont="1"/>
    <xf numFmtId="4" fontId="18" fillId="2" borderId="8" xfId="0" applyNumberFormat="1" applyFont="1" applyFill="1" applyBorder="1" applyAlignment="1" applyProtection="1">
      <alignment horizontal="center" wrapText="1"/>
    </xf>
    <xf numFmtId="4" fontId="12" fillId="2" borderId="8" xfId="0" quotePrefix="1" applyNumberFormat="1" applyFont="1" applyFill="1" applyBorder="1" applyAlignment="1">
      <alignment horizontal="center" wrapText="1"/>
    </xf>
    <xf numFmtId="4" fontId="9" fillId="2" borderId="8" xfId="0" applyNumberFormat="1" applyFont="1" applyFill="1" applyBorder="1" applyAlignment="1" applyProtection="1">
      <alignment horizontal="center"/>
    </xf>
    <xf numFmtId="3" fontId="37" fillId="0" borderId="0" xfId="0" quotePrefix="1" applyNumberFormat="1" applyFont="1" applyAlignment="1">
      <alignment horizontal="left"/>
    </xf>
    <xf numFmtId="3" fontId="26" fillId="0" borderId="0" xfId="0" applyNumberFormat="1" applyFont="1"/>
    <xf numFmtId="3" fontId="38" fillId="0" borderId="0" xfId="0" applyNumberFormat="1" applyFont="1" applyFill="1" applyAlignment="1">
      <alignment wrapText="1"/>
    </xf>
    <xf numFmtId="3" fontId="26" fillId="0" borderId="0" xfId="0" applyNumberFormat="1" applyFont="1" applyAlignment="1">
      <alignment wrapText="1"/>
    </xf>
    <xf numFmtId="4" fontId="13" fillId="2" borderId="8" xfId="0" applyNumberFormat="1" applyFont="1" applyFill="1" applyBorder="1" applyAlignment="1" applyProtection="1">
      <alignment horizontal="center" wrapText="1"/>
    </xf>
    <xf numFmtId="4" fontId="13" fillId="2" borderId="8" xfId="0" applyNumberFormat="1" applyFont="1" applyFill="1" applyBorder="1" applyAlignment="1">
      <alignment horizontal="center"/>
    </xf>
    <xf numFmtId="0" fontId="31" fillId="0" borderId="4" xfId="0" applyNumberFormat="1" applyFont="1" applyBorder="1" applyAlignment="1">
      <alignment vertical="center"/>
    </xf>
    <xf numFmtId="0" fontId="32" fillId="0" borderId="4" xfId="0" applyNumberFormat="1" applyFont="1" applyBorder="1" applyAlignment="1">
      <alignment horizontal="center" vertical="center"/>
    </xf>
    <xf numFmtId="0" fontId="32" fillId="0" borderId="4" xfId="0" applyNumberFormat="1" applyFont="1" applyBorder="1" applyAlignment="1">
      <alignment vertical="center"/>
    </xf>
    <xf numFmtId="0" fontId="38" fillId="0" borderId="4" xfId="0" applyNumberFormat="1" applyFont="1" applyBorder="1" applyAlignment="1">
      <alignment horizontal="center" vertical="center"/>
    </xf>
    <xf numFmtId="4" fontId="39" fillId="0" borderId="4" xfId="0" applyNumberFormat="1" applyFont="1" applyFill="1" applyBorder="1" applyAlignment="1">
      <alignment vertical="center"/>
    </xf>
    <xf numFmtId="4" fontId="39" fillId="0" borderId="4" xfId="0" applyNumberFormat="1" applyFont="1" applyBorder="1" applyAlignment="1">
      <alignment vertical="center"/>
    </xf>
    <xf numFmtId="0" fontId="25" fillId="0" borderId="0" xfId="0" applyFont="1" applyFill="1" applyAlignment="1">
      <alignment horizontal="center" wrapText="1"/>
    </xf>
    <xf numFmtId="3" fontId="25" fillId="0" borderId="2" xfId="0" applyNumberFormat="1" applyFont="1" applyFill="1" applyBorder="1" applyAlignment="1">
      <alignment horizontal="center"/>
    </xf>
    <xf numFmtId="3" fontId="25" fillId="0" borderId="0" xfId="0" applyNumberFormat="1" applyFont="1" applyFill="1" applyAlignment="1">
      <alignment horizontal="center"/>
    </xf>
    <xf numFmtId="0" fontId="31" fillId="0" borderId="1" xfId="0" applyNumberFormat="1" applyFont="1" applyFill="1" applyBorder="1" applyAlignment="1">
      <alignment horizontal="center"/>
    </xf>
    <xf numFmtId="0" fontId="31" fillId="0" borderId="1" xfId="0" applyNumberFormat="1" applyFont="1" applyFill="1" applyBorder="1" applyAlignment="1">
      <alignment horizontal="center" vertical="center" wrapText="1"/>
    </xf>
    <xf numFmtId="4" fontId="19" fillId="0" borderId="8" xfId="0" applyNumberFormat="1" applyFont="1" applyFill="1" applyBorder="1" applyAlignment="1">
      <alignment horizontal="center" vertical="center" wrapText="1"/>
    </xf>
    <xf numFmtId="4" fontId="19" fillId="0" borderId="8" xfId="0" applyNumberFormat="1" applyFont="1" applyFill="1" applyBorder="1" applyAlignment="1">
      <alignment horizontal="center" vertical="center"/>
    </xf>
    <xf numFmtId="4" fontId="20" fillId="0" borderId="8" xfId="0" applyNumberFormat="1" applyFont="1" applyFill="1" applyBorder="1" applyAlignment="1">
      <alignment horizontal="center" vertical="center"/>
    </xf>
    <xf numFmtId="4" fontId="23" fillId="0" borderId="8" xfId="0" applyNumberFormat="1" applyFont="1" applyFill="1" applyBorder="1" applyAlignment="1">
      <alignment horizontal="center" wrapText="1"/>
    </xf>
    <xf numFmtId="4" fontId="22" fillId="0" borderId="8" xfId="0" applyNumberFormat="1" applyFont="1" applyFill="1" applyBorder="1" applyAlignment="1">
      <alignment horizontal="center" wrapText="1"/>
    </xf>
    <xf numFmtId="4" fontId="19" fillId="0" borderId="8" xfId="0" applyNumberFormat="1" applyFont="1" applyFill="1" applyBorder="1" applyAlignment="1">
      <alignment horizontal="center" wrapText="1"/>
    </xf>
    <xf numFmtId="3" fontId="5" fillId="0" borderId="0" xfId="0" applyNumberFormat="1" applyFont="1" applyFill="1" applyAlignment="1">
      <alignment horizontal="center" wrapText="1"/>
    </xf>
    <xf numFmtId="4" fontId="0" fillId="0" borderId="0" xfId="0" applyNumberFormat="1"/>
    <xf numFmtId="0" fontId="0" fillId="0" borderId="8" xfId="0" applyBorder="1"/>
    <xf numFmtId="4" fontId="0" fillId="0" borderId="8" xfId="0" applyNumberFormat="1" applyBorder="1"/>
    <xf numFmtId="4" fontId="0" fillId="0" borderId="10" xfId="0" applyNumberFormat="1" applyBorder="1"/>
    <xf numFmtId="0" fontId="0" fillId="0" borderId="0" xfId="0" applyBorder="1"/>
    <xf numFmtId="0" fontId="0" fillId="0" borderId="11" xfId="0" applyBorder="1"/>
    <xf numFmtId="4" fontId="7" fillId="3" borderId="11" xfId="0" applyNumberFormat="1" applyFont="1" applyFill="1" applyBorder="1"/>
    <xf numFmtId="4" fontId="0" fillId="4" borderId="11" xfId="0" applyNumberFormat="1" applyFill="1" applyBorder="1"/>
    <xf numFmtId="4" fontId="0" fillId="5" borderId="11" xfId="0" applyNumberFormat="1" applyFill="1" applyBorder="1"/>
    <xf numFmtId="4" fontId="0" fillId="6" borderId="11" xfId="0" applyNumberFormat="1" applyFill="1" applyBorder="1"/>
    <xf numFmtId="4" fontId="0" fillId="7" borderId="11" xfId="0" applyNumberFormat="1" applyFill="1" applyBorder="1"/>
    <xf numFmtId="0" fontId="22" fillId="0" borderId="8" xfId="0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left" vertical="center" wrapText="1"/>
    </xf>
    <xf numFmtId="1" fontId="40" fillId="0" borderId="8" xfId="0" applyNumberFormat="1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22" fillId="0" borderId="8" xfId="2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horizontal="center" vertical="center" wrapText="1"/>
    </xf>
    <xf numFmtId="4" fontId="22" fillId="0" borderId="8" xfId="0" applyNumberFormat="1" applyFont="1" applyBorder="1" applyAlignment="1">
      <alignment horizontal="center" wrapText="1"/>
    </xf>
    <xf numFmtId="0" fontId="31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1" fontId="0" fillId="0" borderId="0" xfId="0" applyNumberFormat="1"/>
    <xf numFmtId="0" fontId="41" fillId="0" borderId="0" xfId="0" applyFont="1" applyAlignment="1">
      <alignment shrinkToFit="1"/>
    </xf>
    <xf numFmtId="0" fontId="15" fillId="0" borderId="6" xfId="0" applyNumberFormat="1" applyFont="1" applyFill="1" applyBorder="1" applyAlignment="1" applyProtection="1">
      <alignment horizontal="left" wrapText="1"/>
    </xf>
    <xf numFmtId="0" fontId="16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7" xfId="0" quotePrefix="1" applyFont="1" applyBorder="1" applyAlignment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left" wrapText="1"/>
    </xf>
    <xf numFmtId="0" fontId="14" fillId="2" borderId="1" xfId="0" applyNumberFormat="1" applyFont="1" applyFill="1" applyBorder="1" applyAlignment="1" applyProtection="1">
      <alignment wrapText="1"/>
    </xf>
    <xf numFmtId="0" fontId="14" fillId="2" borderId="1" xfId="0" applyNumberFormat="1" applyFont="1" applyFill="1" applyBorder="1" applyAlignment="1" applyProtection="1"/>
    <xf numFmtId="0" fontId="15" fillId="0" borderId="6" xfId="0" quotePrefix="1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5" fillId="0" borderId="6" xfId="0" quotePrefix="1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wrapText="1"/>
    </xf>
    <xf numFmtId="0" fontId="15" fillId="2" borderId="6" xfId="0" quotePrefix="1" applyNumberFormat="1" applyFont="1" applyFill="1" applyBorder="1" applyAlignment="1" applyProtection="1">
      <alignment horizontal="left" wrapText="1"/>
    </xf>
    <xf numFmtId="0" fontId="16" fillId="2" borderId="1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8" fillId="0" borderId="6" xfId="0" quotePrefix="1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0" fontId="18" fillId="0" borderId="7" xfId="0" quotePrefix="1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wrapText="1"/>
    </xf>
    <xf numFmtId="0" fontId="12" fillId="2" borderId="1" xfId="0" quotePrefix="1" applyFont="1" applyFill="1" applyBorder="1" applyAlignment="1">
      <alignment horizontal="left" wrapText="1"/>
    </xf>
    <xf numFmtId="0" fontId="12" fillId="2" borderId="6" xfId="0" applyNumberFormat="1" applyFont="1" applyFill="1" applyBorder="1" applyAlignment="1" applyProtection="1">
      <alignment horizontal="left" wrapText="1"/>
    </xf>
    <xf numFmtId="0" fontId="10" fillId="2" borderId="1" xfId="0" applyNumberFormat="1" applyFont="1" applyFill="1" applyBorder="1" applyAlignment="1" applyProtection="1">
      <alignment wrapText="1"/>
    </xf>
    <xf numFmtId="0" fontId="9" fillId="2" borderId="1" xfId="0" applyNumberFormat="1" applyFont="1" applyFill="1" applyBorder="1" applyAlignment="1" applyProtection="1"/>
    <xf numFmtId="0" fontId="8" fillId="0" borderId="0" xfId="0" quotePrefix="1" applyNumberFormat="1" applyFont="1" applyFill="1" applyBorder="1" applyAlignment="1" applyProtection="1">
      <alignment horizontal="center" vertical="center" wrapText="1"/>
    </xf>
    <xf numFmtId="0" fontId="12" fillId="0" borderId="1" xfId="0" quotePrefix="1" applyFont="1" applyBorder="1" applyAlignment="1">
      <alignment horizontal="center"/>
    </xf>
    <xf numFmtId="0" fontId="17" fillId="0" borderId="0" xfId="0" applyFont="1" applyAlignment="1">
      <alignment horizontal="left" wrapText="1"/>
    </xf>
    <xf numFmtId="0" fontId="26" fillId="0" borderId="0" xfId="0" applyNumberFormat="1" applyFont="1" applyAlignment="1">
      <alignment horizontal="center"/>
    </xf>
    <xf numFmtId="0" fontId="27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3" fontId="37" fillId="0" borderId="0" xfId="0" quotePrefix="1" applyNumberFormat="1" applyFont="1" applyAlignment="1">
      <alignment horizontal="center"/>
    </xf>
    <xf numFmtId="0" fontId="41" fillId="4" borderId="0" xfId="0" applyFont="1" applyFill="1" applyAlignment="1">
      <alignment horizontal="center"/>
    </xf>
    <xf numFmtId="0" fontId="41" fillId="5" borderId="0" xfId="0" applyFont="1" applyFill="1" applyAlignment="1">
      <alignment horizontal="center"/>
    </xf>
    <xf numFmtId="0" fontId="41" fillId="6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41" fillId="4" borderId="0" xfId="0" applyFont="1" applyFill="1" applyAlignment="1">
      <alignment shrinkToFit="1"/>
    </xf>
    <xf numFmtId="0" fontId="41" fillId="5" borderId="0" xfId="0" applyFont="1" applyFill="1" applyAlignment="1">
      <alignment shrinkToFit="1"/>
    </xf>
    <xf numFmtId="0" fontId="41" fillId="6" borderId="0" xfId="0" applyFont="1" applyFill="1" applyAlignment="1">
      <alignment shrinkToFit="1"/>
    </xf>
    <xf numFmtId="0" fontId="41" fillId="7" borderId="0" xfId="0" applyFont="1" applyFill="1" applyAlignment="1">
      <alignment shrinkToFit="1"/>
    </xf>
    <xf numFmtId="0" fontId="41" fillId="0" borderId="0" xfId="0" applyFont="1" applyAlignment="1">
      <alignment horizontal="center" shrinkToFit="1"/>
    </xf>
    <xf numFmtId="4" fontId="7" fillId="7" borderId="0" xfId="0" applyNumberFormat="1" applyFont="1" applyFill="1"/>
    <xf numFmtId="4" fontId="7" fillId="6" borderId="0" xfId="0" applyNumberFormat="1" applyFont="1" applyFill="1"/>
    <xf numFmtId="4" fontId="7" fillId="5" borderId="0" xfId="0" applyNumberFormat="1" applyFont="1" applyFill="1"/>
    <xf numFmtId="4" fontId="7" fillId="4" borderId="0" xfId="0" applyNumberFormat="1" applyFont="1" applyFill="1"/>
    <xf numFmtId="0" fontId="31" fillId="0" borderId="11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/>
    </xf>
    <xf numFmtId="4" fontId="0" fillId="4" borderId="8" xfId="0" applyNumberFormat="1" applyFill="1" applyBorder="1"/>
    <xf numFmtId="4" fontId="0" fillId="5" borderId="8" xfId="0" applyNumberFormat="1" applyFill="1" applyBorder="1"/>
    <xf numFmtId="4" fontId="0" fillId="6" borderId="8" xfId="0" applyNumberFormat="1" applyFill="1" applyBorder="1"/>
    <xf numFmtId="4" fontId="0" fillId="7" borderId="8" xfId="0" applyNumberFormat="1" applyFill="1" applyBorder="1"/>
    <xf numFmtId="4" fontId="22" fillId="0" borderId="8" xfId="0" applyNumberFormat="1" applyFont="1" applyBorder="1" applyAlignment="1">
      <alignment horizontal="center"/>
    </xf>
  </cellXfs>
  <cellStyles count="4">
    <cellStyle name="Normal" xfId="0" builtinId="0"/>
    <cellStyle name="Normal 2" xfId="1"/>
    <cellStyle name="Obično_List4" xfId="3"/>
    <cellStyle name="Obično_List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20" zoomScaleNormal="120" workbookViewId="0">
      <selection activeCell="A17" sqref="A17:H17"/>
    </sheetView>
  </sheetViews>
  <sheetFormatPr defaultRowHeight="12.75" x14ac:dyDescent="0.2"/>
  <cols>
    <col min="5" max="6" width="31.28515625" customWidth="1"/>
    <col min="7" max="7" width="24.7109375" customWidth="1"/>
    <col min="8" max="8" width="26" customWidth="1"/>
    <col min="261" max="261" width="31.28515625" customWidth="1"/>
    <col min="262" max="262" width="24.7109375" customWidth="1"/>
    <col min="263" max="263" width="26" customWidth="1"/>
    <col min="264" max="264" width="33.7109375" customWidth="1"/>
    <col min="517" max="517" width="31.28515625" customWidth="1"/>
    <col min="518" max="518" width="24.7109375" customWidth="1"/>
    <col min="519" max="519" width="26" customWidth="1"/>
    <col min="520" max="520" width="33.7109375" customWidth="1"/>
    <col min="773" max="773" width="31.28515625" customWidth="1"/>
    <col min="774" max="774" width="24.7109375" customWidth="1"/>
    <col min="775" max="775" width="26" customWidth="1"/>
    <col min="776" max="776" width="33.7109375" customWidth="1"/>
    <col min="1029" max="1029" width="31.28515625" customWidth="1"/>
    <col min="1030" max="1030" width="24.7109375" customWidth="1"/>
    <col min="1031" max="1031" width="26" customWidth="1"/>
    <col min="1032" max="1032" width="33.7109375" customWidth="1"/>
    <col min="1285" max="1285" width="31.28515625" customWidth="1"/>
    <col min="1286" max="1286" width="24.7109375" customWidth="1"/>
    <col min="1287" max="1287" width="26" customWidth="1"/>
    <col min="1288" max="1288" width="33.7109375" customWidth="1"/>
    <col min="1541" max="1541" width="31.28515625" customWidth="1"/>
    <col min="1542" max="1542" width="24.7109375" customWidth="1"/>
    <col min="1543" max="1543" width="26" customWidth="1"/>
    <col min="1544" max="1544" width="33.7109375" customWidth="1"/>
    <col min="1797" max="1797" width="31.28515625" customWidth="1"/>
    <col min="1798" max="1798" width="24.7109375" customWidth="1"/>
    <col min="1799" max="1799" width="26" customWidth="1"/>
    <col min="1800" max="1800" width="33.7109375" customWidth="1"/>
    <col min="2053" max="2053" width="31.28515625" customWidth="1"/>
    <col min="2054" max="2054" width="24.7109375" customWidth="1"/>
    <col min="2055" max="2055" width="26" customWidth="1"/>
    <col min="2056" max="2056" width="33.7109375" customWidth="1"/>
    <col min="2309" max="2309" width="31.28515625" customWidth="1"/>
    <col min="2310" max="2310" width="24.7109375" customWidth="1"/>
    <col min="2311" max="2311" width="26" customWidth="1"/>
    <col min="2312" max="2312" width="33.7109375" customWidth="1"/>
    <col min="2565" max="2565" width="31.28515625" customWidth="1"/>
    <col min="2566" max="2566" width="24.7109375" customWidth="1"/>
    <col min="2567" max="2567" width="26" customWidth="1"/>
    <col min="2568" max="2568" width="33.7109375" customWidth="1"/>
    <col min="2821" max="2821" width="31.28515625" customWidth="1"/>
    <col min="2822" max="2822" width="24.7109375" customWidth="1"/>
    <col min="2823" max="2823" width="26" customWidth="1"/>
    <col min="2824" max="2824" width="33.7109375" customWidth="1"/>
    <col min="3077" max="3077" width="31.28515625" customWidth="1"/>
    <col min="3078" max="3078" width="24.7109375" customWidth="1"/>
    <col min="3079" max="3079" width="26" customWidth="1"/>
    <col min="3080" max="3080" width="33.7109375" customWidth="1"/>
    <col min="3333" max="3333" width="31.28515625" customWidth="1"/>
    <col min="3334" max="3334" width="24.7109375" customWidth="1"/>
    <col min="3335" max="3335" width="26" customWidth="1"/>
    <col min="3336" max="3336" width="33.7109375" customWidth="1"/>
    <col min="3589" max="3589" width="31.28515625" customWidth="1"/>
    <col min="3590" max="3590" width="24.7109375" customWidth="1"/>
    <col min="3591" max="3591" width="26" customWidth="1"/>
    <col min="3592" max="3592" width="33.7109375" customWidth="1"/>
    <col min="3845" max="3845" width="31.28515625" customWidth="1"/>
    <col min="3846" max="3846" width="24.7109375" customWidth="1"/>
    <col min="3847" max="3847" width="26" customWidth="1"/>
    <col min="3848" max="3848" width="33.7109375" customWidth="1"/>
    <col min="4101" max="4101" width="31.28515625" customWidth="1"/>
    <col min="4102" max="4102" width="24.7109375" customWidth="1"/>
    <col min="4103" max="4103" width="26" customWidth="1"/>
    <col min="4104" max="4104" width="33.7109375" customWidth="1"/>
    <col min="4357" max="4357" width="31.28515625" customWidth="1"/>
    <col min="4358" max="4358" width="24.7109375" customWidth="1"/>
    <col min="4359" max="4359" width="26" customWidth="1"/>
    <col min="4360" max="4360" width="33.7109375" customWidth="1"/>
    <col min="4613" max="4613" width="31.28515625" customWidth="1"/>
    <col min="4614" max="4614" width="24.7109375" customWidth="1"/>
    <col min="4615" max="4615" width="26" customWidth="1"/>
    <col min="4616" max="4616" width="33.7109375" customWidth="1"/>
    <col min="4869" max="4869" width="31.28515625" customWidth="1"/>
    <col min="4870" max="4870" width="24.7109375" customWidth="1"/>
    <col min="4871" max="4871" width="26" customWidth="1"/>
    <col min="4872" max="4872" width="33.7109375" customWidth="1"/>
    <col min="5125" max="5125" width="31.28515625" customWidth="1"/>
    <col min="5126" max="5126" width="24.7109375" customWidth="1"/>
    <col min="5127" max="5127" width="26" customWidth="1"/>
    <col min="5128" max="5128" width="33.7109375" customWidth="1"/>
    <col min="5381" max="5381" width="31.28515625" customWidth="1"/>
    <col min="5382" max="5382" width="24.7109375" customWidth="1"/>
    <col min="5383" max="5383" width="26" customWidth="1"/>
    <col min="5384" max="5384" width="33.7109375" customWidth="1"/>
    <col min="5637" max="5637" width="31.28515625" customWidth="1"/>
    <col min="5638" max="5638" width="24.7109375" customWidth="1"/>
    <col min="5639" max="5639" width="26" customWidth="1"/>
    <col min="5640" max="5640" width="33.7109375" customWidth="1"/>
    <col min="5893" max="5893" width="31.28515625" customWidth="1"/>
    <col min="5894" max="5894" width="24.7109375" customWidth="1"/>
    <col min="5895" max="5895" width="26" customWidth="1"/>
    <col min="5896" max="5896" width="33.7109375" customWidth="1"/>
    <col min="6149" max="6149" width="31.28515625" customWidth="1"/>
    <col min="6150" max="6150" width="24.7109375" customWidth="1"/>
    <col min="6151" max="6151" width="26" customWidth="1"/>
    <col min="6152" max="6152" width="33.7109375" customWidth="1"/>
    <col min="6405" max="6405" width="31.28515625" customWidth="1"/>
    <col min="6406" max="6406" width="24.7109375" customWidth="1"/>
    <col min="6407" max="6407" width="26" customWidth="1"/>
    <col min="6408" max="6408" width="33.7109375" customWidth="1"/>
    <col min="6661" max="6661" width="31.28515625" customWidth="1"/>
    <col min="6662" max="6662" width="24.7109375" customWidth="1"/>
    <col min="6663" max="6663" width="26" customWidth="1"/>
    <col min="6664" max="6664" width="33.7109375" customWidth="1"/>
    <col min="6917" max="6917" width="31.28515625" customWidth="1"/>
    <col min="6918" max="6918" width="24.7109375" customWidth="1"/>
    <col min="6919" max="6919" width="26" customWidth="1"/>
    <col min="6920" max="6920" width="33.7109375" customWidth="1"/>
    <col min="7173" max="7173" width="31.28515625" customWidth="1"/>
    <col min="7174" max="7174" width="24.7109375" customWidth="1"/>
    <col min="7175" max="7175" width="26" customWidth="1"/>
    <col min="7176" max="7176" width="33.7109375" customWidth="1"/>
    <col min="7429" max="7429" width="31.28515625" customWidth="1"/>
    <col min="7430" max="7430" width="24.7109375" customWidth="1"/>
    <col min="7431" max="7431" width="26" customWidth="1"/>
    <col min="7432" max="7432" width="33.7109375" customWidth="1"/>
    <col min="7685" max="7685" width="31.28515625" customWidth="1"/>
    <col min="7686" max="7686" width="24.7109375" customWidth="1"/>
    <col min="7687" max="7687" width="26" customWidth="1"/>
    <col min="7688" max="7688" width="33.7109375" customWidth="1"/>
    <col min="7941" max="7941" width="31.28515625" customWidth="1"/>
    <col min="7942" max="7942" width="24.7109375" customWidth="1"/>
    <col min="7943" max="7943" width="26" customWidth="1"/>
    <col min="7944" max="7944" width="33.7109375" customWidth="1"/>
    <col min="8197" max="8197" width="31.28515625" customWidth="1"/>
    <col min="8198" max="8198" width="24.7109375" customWidth="1"/>
    <col min="8199" max="8199" width="26" customWidth="1"/>
    <col min="8200" max="8200" width="33.7109375" customWidth="1"/>
    <col min="8453" max="8453" width="31.28515625" customWidth="1"/>
    <col min="8454" max="8454" width="24.7109375" customWidth="1"/>
    <col min="8455" max="8455" width="26" customWidth="1"/>
    <col min="8456" max="8456" width="33.7109375" customWidth="1"/>
    <col min="8709" max="8709" width="31.28515625" customWidth="1"/>
    <col min="8710" max="8710" width="24.7109375" customWidth="1"/>
    <col min="8711" max="8711" width="26" customWidth="1"/>
    <col min="8712" max="8712" width="33.7109375" customWidth="1"/>
    <col min="8965" max="8965" width="31.28515625" customWidth="1"/>
    <col min="8966" max="8966" width="24.7109375" customWidth="1"/>
    <col min="8967" max="8967" width="26" customWidth="1"/>
    <col min="8968" max="8968" width="33.7109375" customWidth="1"/>
    <col min="9221" max="9221" width="31.28515625" customWidth="1"/>
    <col min="9222" max="9222" width="24.7109375" customWidth="1"/>
    <col min="9223" max="9223" width="26" customWidth="1"/>
    <col min="9224" max="9224" width="33.7109375" customWidth="1"/>
    <col min="9477" max="9477" width="31.28515625" customWidth="1"/>
    <col min="9478" max="9478" width="24.7109375" customWidth="1"/>
    <col min="9479" max="9479" width="26" customWidth="1"/>
    <col min="9480" max="9480" width="33.7109375" customWidth="1"/>
    <col min="9733" max="9733" width="31.28515625" customWidth="1"/>
    <col min="9734" max="9734" width="24.7109375" customWidth="1"/>
    <col min="9735" max="9735" width="26" customWidth="1"/>
    <col min="9736" max="9736" width="33.7109375" customWidth="1"/>
    <col min="9989" max="9989" width="31.28515625" customWidth="1"/>
    <col min="9990" max="9990" width="24.7109375" customWidth="1"/>
    <col min="9991" max="9991" width="26" customWidth="1"/>
    <col min="9992" max="9992" width="33.7109375" customWidth="1"/>
    <col min="10245" max="10245" width="31.28515625" customWidth="1"/>
    <col min="10246" max="10246" width="24.7109375" customWidth="1"/>
    <col min="10247" max="10247" width="26" customWidth="1"/>
    <col min="10248" max="10248" width="33.7109375" customWidth="1"/>
    <col min="10501" max="10501" width="31.28515625" customWidth="1"/>
    <col min="10502" max="10502" width="24.7109375" customWidth="1"/>
    <col min="10503" max="10503" width="26" customWidth="1"/>
    <col min="10504" max="10504" width="33.7109375" customWidth="1"/>
    <col min="10757" max="10757" width="31.28515625" customWidth="1"/>
    <col min="10758" max="10758" width="24.7109375" customWidth="1"/>
    <col min="10759" max="10759" width="26" customWidth="1"/>
    <col min="10760" max="10760" width="33.7109375" customWidth="1"/>
    <col min="11013" max="11013" width="31.28515625" customWidth="1"/>
    <col min="11014" max="11014" width="24.7109375" customWidth="1"/>
    <col min="11015" max="11015" width="26" customWidth="1"/>
    <col min="11016" max="11016" width="33.7109375" customWidth="1"/>
    <col min="11269" max="11269" width="31.28515625" customWidth="1"/>
    <col min="11270" max="11270" width="24.7109375" customWidth="1"/>
    <col min="11271" max="11271" width="26" customWidth="1"/>
    <col min="11272" max="11272" width="33.7109375" customWidth="1"/>
    <col min="11525" max="11525" width="31.28515625" customWidth="1"/>
    <col min="11526" max="11526" width="24.7109375" customWidth="1"/>
    <col min="11527" max="11527" width="26" customWidth="1"/>
    <col min="11528" max="11528" width="33.7109375" customWidth="1"/>
    <col min="11781" max="11781" width="31.28515625" customWidth="1"/>
    <col min="11782" max="11782" width="24.7109375" customWidth="1"/>
    <col min="11783" max="11783" width="26" customWidth="1"/>
    <col min="11784" max="11784" width="33.7109375" customWidth="1"/>
    <col min="12037" max="12037" width="31.28515625" customWidth="1"/>
    <col min="12038" max="12038" width="24.7109375" customWidth="1"/>
    <col min="12039" max="12039" width="26" customWidth="1"/>
    <col min="12040" max="12040" width="33.7109375" customWidth="1"/>
    <col min="12293" max="12293" width="31.28515625" customWidth="1"/>
    <col min="12294" max="12294" width="24.7109375" customWidth="1"/>
    <col min="12295" max="12295" width="26" customWidth="1"/>
    <col min="12296" max="12296" width="33.7109375" customWidth="1"/>
    <col min="12549" max="12549" width="31.28515625" customWidth="1"/>
    <col min="12550" max="12550" width="24.7109375" customWidth="1"/>
    <col min="12551" max="12551" width="26" customWidth="1"/>
    <col min="12552" max="12552" width="33.7109375" customWidth="1"/>
    <col min="12805" max="12805" width="31.28515625" customWidth="1"/>
    <col min="12806" max="12806" width="24.7109375" customWidth="1"/>
    <col min="12807" max="12807" width="26" customWidth="1"/>
    <col min="12808" max="12808" width="33.7109375" customWidth="1"/>
    <col min="13061" max="13061" width="31.28515625" customWidth="1"/>
    <col min="13062" max="13062" width="24.7109375" customWidth="1"/>
    <col min="13063" max="13063" width="26" customWidth="1"/>
    <col min="13064" max="13064" width="33.7109375" customWidth="1"/>
    <col min="13317" max="13317" width="31.28515625" customWidth="1"/>
    <col min="13318" max="13318" width="24.7109375" customWidth="1"/>
    <col min="13319" max="13319" width="26" customWidth="1"/>
    <col min="13320" max="13320" width="33.7109375" customWidth="1"/>
    <col min="13573" max="13573" width="31.28515625" customWidth="1"/>
    <col min="13574" max="13574" width="24.7109375" customWidth="1"/>
    <col min="13575" max="13575" width="26" customWidth="1"/>
    <col min="13576" max="13576" width="33.7109375" customWidth="1"/>
    <col min="13829" max="13829" width="31.28515625" customWidth="1"/>
    <col min="13830" max="13830" width="24.7109375" customWidth="1"/>
    <col min="13831" max="13831" width="26" customWidth="1"/>
    <col min="13832" max="13832" width="33.7109375" customWidth="1"/>
    <col min="14085" max="14085" width="31.28515625" customWidth="1"/>
    <col min="14086" max="14086" width="24.7109375" customWidth="1"/>
    <col min="14087" max="14087" width="26" customWidth="1"/>
    <col min="14088" max="14088" width="33.7109375" customWidth="1"/>
    <col min="14341" max="14341" width="31.28515625" customWidth="1"/>
    <col min="14342" max="14342" width="24.7109375" customWidth="1"/>
    <col min="14343" max="14343" width="26" customWidth="1"/>
    <col min="14344" max="14344" width="33.7109375" customWidth="1"/>
    <col min="14597" max="14597" width="31.28515625" customWidth="1"/>
    <col min="14598" max="14598" width="24.7109375" customWidth="1"/>
    <col min="14599" max="14599" width="26" customWidth="1"/>
    <col min="14600" max="14600" width="33.7109375" customWidth="1"/>
    <col min="14853" max="14853" width="31.28515625" customWidth="1"/>
    <col min="14854" max="14854" width="24.7109375" customWidth="1"/>
    <col min="14855" max="14855" width="26" customWidth="1"/>
    <col min="14856" max="14856" width="33.7109375" customWidth="1"/>
    <col min="15109" max="15109" width="31.28515625" customWidth="1"/>
    <col min="15110" max="15110" width="24.7109375" customWidth="1"/>
    <col min="15111" max="15111" width="26" customWidth="1"/>
    <col min="15112" max="15112" width="33.7109375" customWidth="1"/>
    <col min="15365" max="15365" width="31.28515625" customWidth="1"/>
    <col min="15366" max="15366" width="24.7109375" customWidth="1"/>
    <col min="15367" max="15367" width="26" customWidth="1"/>
    <col min="15368" max="15368" width="33.7109375" customWidth="1"/>
    <col min="15621" max="15621" width="31.28515625" customWidth="1"/>
    <col min="15622" max="15622" width="24.7109375" customWidth="1"/>
    <col min="15623" max="15623" width="26" customWidth="1"/>
    <col min="15624" max="15624" width="33.7109375" customWidth="1"/>
    <col min="15877" max="15877" width="31.28515625" customWidth="1"/>
    <col min="15878" max="15878" width="24.7109375" customWidth="1"/>
    <col min="15879" max="15879" width="26" customWidth="1"/>
    <col min="15880" max="15880" width="33.7109375" customWidth="1"/>
    <col min="16133" max="16133" width="31.28515625" customWidth="1"/>
    <col min="16134" max="16134" width="24.7109375" customWidth="1"/>
    <col min="16135" max="16135" width="26" customWidth="1"/>
    <col min="16136" max="16136" width="33.7109375" customWidth="1"/>
  </cols>
  <sheetData>
    <row r="1" spans="1:9" s="9" customFormat="1" ht="51.75" customHeight="1" x14ac:dyDescent="0.2">
      <c r="A1" s="188" t="s">
        <v>168</v>
      </c>
      <c r="B1" s="188"/>
      <c r="C1" s="188"/>
      <c r="D1" s="188"/>
      <c r="E1" s="188"/>
      <c r="F1" s="188"/>
      <c r="G1" s="188"/>
      <c r="H1" s="188"/>
    </row>
    <row r="2" spans="1:9" s="10" customFormat="1" ht="38.25" customHeight="1" x14ac:dyDescent="0.2">
      <c r="A2" s="188" t="s">
        <v>65</v>
      </c>
      <c r="B2" s="188"/>
      <c r="C2" s="188"/>
      <c r="D2" s="188"/>
      <c r="E2" s="188"/>
      <c r="F2" s="188"/>
      <c r="G2" s="188"/>
      <c r="H2" s="189"/>
    </row>
    <row r="3" spans="1:9" s="9" customFormat="1" ht="15" customHeight="1" x14ac:dyDescent="0.2">
      <c r="A3" s="188"/>
      <c r="B3" s="188"/>
      <c r="C3" s="188"/>
      <c r="D3" s="188"/>
      <c r="E3" s="188"/>
      <c r="F3" s="188"/>
      <c r="G3" s="188"/>
      <c r="H3" s="188"/>
    </row>
    <row r="4" spans="1:9" s="9" customFormat="1" ht="14.25" customHeight="1" x14ac:dyDescent="0.25">
      <c r="A4" s="11"/>
      <c r="B4" s="12"/>
      <c r="C4" s="12"/>
      <c r="D4" s="12"/>
      <c r="E4" s="12"/>
      <c r="F4" s="12"/>
    </row>
    <row r="5" spans="1:9" s="9" customFormat="1" ht="49.5" customHeight="1" x14ac:dyDescent="0.2">
      <c r="A5" s="190" t="s">
        <v>82</v>
      </c>
      <c r="B5" s="191"/>
      <c r="C5" s="191"/>
      <c r="D5" s="191"/>
      <c r="E5" s="192"/>
      <c r="F5" s="24" t="s">
        <v>79</v>
      </c>
      <c r="G5" s="13" t="s">
        <v>80</v>
      </c>
      <c r="H5" s="13" t="s">
        <v>81</v>
      </c>
      <c r="I5" s="14"/>
    </row>
    <row r="6" spans="1:9" s="9" customFormat="1" ht="44.25" customHeight="1" x14ac:dyDescent="0.25">
      <c r="A6" s="193" t="s">
        <v>66</v>
      </c>
      <c r="B6" s="194"/>
      <c r="C6" s="194"/>
      <c r="D6" s="194"/>
      <c r="E6" s="195"/>
      <c r="F6" s="25">
        <f>F7+F8</f>
        <v>20328185.699999999</v>
      </c>
      <c r="G6" s="25">
        <f>G7+G8</f>
        <v>21455246.18</v>
      </c>
      <c r="H6" s="25">
        <f>H7+H8</f>
        <v>21429727.640000001</v>
      </c>
      <c r="I6" s="15"/>
    </row>
    <row r="7" spans="1:9" s="9" customFormat="1" ht="38.25" customHeight="1" x14ac:dyDescent="0.25">
      <c r="A7" s="185" t="s">
        <v>67</v>
      </c>
      <c r="B7" s="186"/>
      <c r="C7" s="186"/>
      <c r="D7" s="186"/>
      <c r="E7" s="187"/>
      <c r="F7" s="31">
        <v>20266705.699999999</v>
      </c>
      <c r="G7" s="26">
        <v>21455246.18</v>
      </c>
      <c r="H7" s="26">
        <v>21429727.640000001</v>
      </c>
    </row>
    <row r="8" spans="1:9" s="9" customFormat="1" ht="37.5" customHeight="1" x14ac:dyDescent="0.25">
      <c r="A8" s="196" t="s">
        <v>68</v>
      </c>
      <c r="B8" s="187"/>
      <c r="C8" s="187"/>
      <c r="D8" s="187"/>
      <c r="E8" s="187"/>
      <c r="F8" s="31">
        <v>61480</v>
      </c>
      <c r="G8" s="27"/>
      <c r="H8" s="28"/>
    </row>
    <row r="9" spans="1:9" s="9" customFormat="1" ht="36" customHeight="1" x14ac:dyDescent="0.25">
      <c r="A9" s="197" t="s">
        <v>69</v>
      </c>
      <c r="B9" s="198"/>
      <c r="C9" s="198"/>
      <c r="D9" s="198"/>
      <c r="E9" s="198"/>
      <c r="F9" s="25">
        <f>F10+F11</f>
        <v>20108897.359999999</v>
      </c>
      <c r="G9" s="25">
        <f>G10+G11</f>
        <v>21648024.549999997</v>
      </c>
      <c r="H9" s="25">
        <f>H10+H11</f>
        <v>21389337.009999998</v>
      </c>
    </row>
    <row r="10" spans="1:9" s="9" customFormat="1" ht="34.5" customHeight="1" x14ac:dyDescent="0.25">
      <c r="A10" s="199" t="s">
        <v>70</v>
      </c>
      <c r="B10" s="186"/>
      <c r="C10" s="186"/>
      <c r="D10" s="186"/>
      <c r="E10" s="200"/>
      <c r="F10" s="32">
        <v>19387233.969999999</v>
      </c>
      <c r="G10" s="26">
        <v>21107160.149999999</v>
      </c>
      <c r="H10" s="26">
        <v>20875179.539999999</v>
      </c>
    </row>
    <row r="11" spans="1:9" s="9" customFormat="1" ht="34.5" customHeight="1" x14ac:dyDescent="0.25">
      <c r="A11" s="196" t="s">
        <v>71</v>
      </c>
      <c r="B11" s="187"/>
      <c r="C11" s="187"/>
      <c r="D11" s="187"/>
      <c r="E11" s="187"/>
      <c r="F11" s="31">
        <v>721663.39</v>
      </c>
      <c r="G11" s="26">
        <v>540864.4</v>
      </c>
      <c r="H11" s="26">
        <v>514157.47</v>
      </c>
    </row>
    <row r="12" spans="1:9" s="9" customFormat="1" ht="35.25" customHeight="1" x14ac:dyDescent="0.25">
      <c r="A12" s="201" t="s">
        <v>72</v>
      </c>
      <c r="B12" s="202"/>
      <c r="C12" s="202"/>
      <c r="D12" s="202"/>
      <c r="E12" s="202"/>
      <c r="F12" s="134">
        <f>+F6-F9</f>
        <v>219288.33999999985</v>
      </c>
      <c r="G12" s="134">
        <f>+G6-G9</f>
        <v>-192778.36999999732</v>
      </c>
      <c r="H12" s="134">
        <f>+H6-H9</f>
        <v>40390.630000002682</v>
      </c>
    </row>
    <row r="13" spans="1:9" s="9" customFormat="1" ht="39.75" customHeight="1" x14ac:dyDescent="0.2">
      <c r="A13" s="188"/>
      <c r="B13" s="203"/>
      <c r="C13" s="203"/>
      <c r="D13" s="203"/>
      <c r="E13" s="203"/>
      <c r="F13" s="203"/>
      <c r="G13" s="204"/>
      <c r="H13" s="204"/>
    </row>
    <row r="14" spans="1:9" s="9" customFormat="1" ht="45" customHeight="1" x14ac:dyDescent="0.2">
      <c r="A14" s="205" t="s">
        <v>83</v>
      </c>
      <c r="B14" s="206"/>
      <c r="C14" s="206"/>
      <c r="D14" s="206"/>
      <c r="E14" s="207"/>
      <c r="F14" s="24" t="s">
        <v>79</v>
      </c>
      <c r="G14" s="13" t="s">
        <v>80</v>
      </c>
      <c r="H14" s="13" t="s">
        <v>81</v>
      </c>
    </row>
    <row r="15" spans="1:9" s="9" customFormat="1" ht="45" customHeight="1" x14ac:dyDescent="0.25">
      <c r="A15" s="208" t="s">
        <v>73</v>
      </c>
      <c r="B15" s="209"/>
      <c r="C15" s="209"/>
      <c r="D15" s="209"/>
      <c r="E15" s="209"/>
      <c r="F15" s="135">
        <v>-98447.16</v>
      </c>
      <c r="G15" s="29">
        <v>120841.18</v>
      </c>
      <c r="H15" s="141">
        <v>120841.18</v>
      </c>
    </row>
    <row r="16" spans="1:9" s="9" customFormat="1" ht="42.75" customHeight="1" x14ac:dyDescent="0.25">
      <c r="A16" s="210" t="s">
        <v>74</v>
      </c>
      <c r="B16" s="211"/>
      <c r="C16" s="211"/>
      <c r="D16" s="211"/>
      <c r="E16" s="212"/>
      <c r="F16" s="136">
        <v>-98447.16</v>
      </c>
      <c r="G16" s="30">
        <v>192778.37</v>
      </c>
      <c r="H16" s="142">
        <v>120841.18</v>
      </c>
    </row>
    <row r="17" spans="1:8" s="17" customFormat="1" ht="45.75" customHeight="1" x14ac:dyDescent="0.25">
      <c r="A17" s="213"/>
      <c r="B17" s="203"/>
      <c r="C17" s="203"/>
      <c r="D17" s="203"/>
      <c r="E17" s="203"/>
      <c r="F17" s="203"/>
      <c r="G17" s="204"/>
      <c r="H17" s="204"/>
    </row>
    <row r="18" spans="1:8" s="17" customFormat="1" ht="47.25" customHeight="1" x14ac:dyDescent="0.25">
      <c r="A18" s="190" t="s">
        <v>84</v>
      </c>
      <c r="B18" s="191"/>
      <c r="C18" s="191"/>
      <c r="D18" s="191"/>
      <c r="E18" s="192"/>
      <c r="F18" s="24" t="s">
        <v>79</v>
      </c>
      <c r="G18" s="13" t="s">
        <v>80</v>
      </c>
      <c r="H18" s="13" t="s">
        <v>81</v>
      </c>
    </row>
    <row r="19" spans="1:8" s="17" customFormat="1" ht="30" customHeight="1" x14ac:dyDescent="0.25">
      <c r="A19" s="185" t="s">
        <v>75</v>
      </c>
      <c r="B19" s="186"/>
      <c r="C19" s="186"/>
      <c r="D19" s="186"/>
      <c r="E19" s="186"/>
      <c r="F19" s="22"/>
      <c r="G19" s="16"/>
      <c r="H19" s="16"/>
    </row>
    <row r="20" spans="1:8" s="17" customFormat="1" ht="30" customHeight="1" x14ac:dyDescent="0.25">
      <c r="A20" s="185" t="s">
        <v>76</v>
      </c>
      <c r="B20" s="186"/>
      <c r="C20" s="186"/>
      <c r="D20" s="186"/>
      <c r="E20" s="186"/>
      <c r="F20" s="22"/>
      <c r="G20" s="16"/>
      <c r="H20" s="16"/>
    </row>
    <row r="21" spans="1:8" s="17" customFormat="1" ht="30" customHeight="1" x14ac:dyDescent="0.25">
      <c r="A21" s="201" t="s">
        <v>77</v>
      </c>
      <c r="B21" s="202"/>
      <c r="C21" s="202"/>
      <c r="D21" s="202"/>
      <c r="E21" s="202"/>
      <c r="F21" s="21"/>
      <c r="G21" s="18"/>
      <c r="H21" s="18"/>
    </row>
    <row r="22" spans="1:8" s="17" customFormat="1" ht="32.25" customHeight="1" x14ac:dyDescent="0.25">
      <c r="A22" s="214"/>
      <c r="B22" s="214"/>
      <c r="C22" s="214"/>
      <c r="D22" s="214"/>
      <c r="E22" s="214"/>
      <c r="F22" s="23"/>
      <c r="G22" s="19"/>
      <c r="H22" s="19"/>
    </row>
    <row r="23" spans="1:8" s="17" customFormat="1" ht="41.25" customHeight="1" x14ac:dyDescent="0.25">
      <c r="A23" s="199" t="s">
        <v>78</v>
      </c>
      <c r="B23" s="186"/>
      <c r="C23" s="186"/>
      <c r="D23" s="186"/>
      <c r="E23" s="186"/>
      <c r="F23" s="28">
        <f>SUM(F12,F16,F21)</f>
        <v>120841.17999999985</v>
      </c>
      <c r="G23" s="28">
        <f>SUM(G12,G16,G21)</f>
        <v>2.6775524020195007E-9</v>
      </c>
      <c r="H23" s="28">
        <f>SUM(H12,H16,H21)</f>
        <v>161231.81000000268</v>
      </c>
    </row>
    <row r="26" spans="1:8" ht="31.5" customHeight="1" x14ac:dyDescent="0.2">
      <c r="A26" s="215"/>
      <c r="B26" s="215"/>
      <c r="C26" s="215"/>
      <c r="D26" s="215"/>
      <c r="E26" s="215"/>
      <c r="F26" s="215"/>
      <c r="G26" s="215"/>
      <c r="H26" s="215"/>
    </row>
  </sheetData>
  <mergeCells count="23">
    <mergeCell ref="A20:E20"/>
    <mergeCell ref="A21:E21"/>
    <mergeCell ref="A22:E22"/>
    <mergeCell ref="A23:E23"/>
    <mergeCell ref="A26:H26"/>
    <mergeCell ref="A19:E19"/>
    <mergeCell ref="A8:E8"/>
    <mergeCell ref="A9:E9"/>
    <mergeCell ref="A10:E10"/>
    <mergeCell ref="A11:E11"/>
    <mergeCell ref="A12:E12"/>
    <mergeCell ref="A13:H13"/>
    <mergeCell ref="A14:E14"/>
    <mergeCell ref="A15:E15"/>
    <mergeCell ref="A16:E16"/>
    <mergeCell ref="A17:H17"/>
    <mergeCell ref="A18:E18"/>
    <mergeCell ref="A7:E7"/>
    <mergeCell ref="A1:H1"/>
    <mergeCell ref="A2:H2"/>
    <mergeCell ref="A3:H3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="150" zoomScaleNormal="150" workbookViewId="0">
      <pane xSplit="1" topLeftCell="B1" activePane="topRight" state="frozen"/>
      <selection activeCell="K22" sqref="K22"/>
      <selection pane="topRight" activeCell="K27" sqref="K27"/>
    </sheetView>
  </sheetViews>
  <sheetFormatPr defaultRowHeight="14.25" x14ac:dyDescent="0.2"/>
  <cols>
    <col min="1" max="1" width="11.140625" style="4" customWidth="1"/>
    <col min="2" max="2" width="29" style="5" customWidth="1"/>
    <col min="3" max="3" width="18.7109375" style="2" customWidth="1"/>
    <col min="4" max="4" width="19.85546875" style="1" customWidth="1"/>
    <col min="5" max="5" width="13.42578125" style="1" customWidth="1"/>
    <col min="6" max="7" width="0" style="1" hidden="1" customWidth="1"/>
    <col min="8" max="8" width="10.42578125" style="1" customWidth="1"/>
    <col min="9" max="10" width="9.140625" style="1"/>
    <col min="11" max="11" width="13.85546875" style="1" customWidth="1"/>
    <col min="12" max="16384" width="9.140625" style="1"/>
  </cols>
  <sheetData>
    <row r="1" spans="1:11" s="55" customFormat="1" ht="15" x14ac:dyDescent="0.25">
      <c r="A1" s="54"/>
      <c r="B1" s="216"/>
      <c r="C1" s="216"/>
      <c r="D1" s="216"/>
      <c r="E1" s="216"/>
    </row>
    <row r="2" spans="1:11" s="55" customFormat="1" ht="24.75" customHeight="1" x14ac:dyDescent="0.35">
      <c r="A2" s="217" t="s">
        <v>123</v>
      </c>
      <c r="B2" s="218"/>
      <c r="C2" s="218"/>
      <c r="D2" s="218"/>
      <c r="E2" s="218"/>
      <c r="F2" s="56"/>
      <c r="G2" s="56"/>
      <c r="H2" s="56"/>
    </row>
    <row r="3" spans="1:11" s="55" customFormat="1" ht="20.25" customHeight="1" x14ac:dyDescent="0.25">
      <c r="A3" s="56"/>
      <c r="B3" s="219" t="s">
        <v>126</v>
      </c>
      <c r="C3" s="219"/>
      <c r="D3" s="219"/>
      <c r="E3" s="219"/>
      <c r="F3" s="56"/>
      <c r="G3" s="56"/>
      <c r="H3" s="56"/>
    </row>
    <row r="4" spans="1:11" s="55" customFormat="1" ht="20.25" customHeight="1" x14ac:dyDescent="0.25">
      <c r="A4" s="56"/>
      <c r="B4" s="56"/>
      <c r="C4" s="57"/>
      <c r="D4" s="56"/>
      <c r="E4" s="56"/>
      <c r="F4" s="56"/>
      <c r="G4" s="56"/>
      <c r="H4" s="56"/>
    </row>
    <row r="5" spans="1:11" s="55" customFormat="1" ht="18" customHeight="1" x14ac:dyDescent="0.3">
      <c r="A5" s="58" t="s">
        <v>5</v>
      </c>
      <c r="B5" s="59"/>
      <c r="C5" s="78"/>
      <c r="D5" s="59"/>
      <c r="E5" s="79"/>
    </row>
    <row r="6" spans="1:11" s="55" customFormat="1" ht="15" customHeight="1" x14ac:dyDescent="0.25">
      <c r="A6" s="63" t="s">
        <v>56</v>
      </c>
      <c r="C6" s="80"/>
      <c r="E6" s="77"/>
    </row>
    <row r="7" spans="1:11" s="55" customFormat="1" ht="16.5" customHeight="1" x14ac:dyDescent="0.25">
      <c r="A7" s="67"/>
      <c r="C7" s="80"/>
      <c r="E7" s="77"/>
    </row>
    <row r="8" spans="1:11" s="138" customFormat="1" ht="16.5" customHeight="1" x14ac:dyDescent="0.25">
      <c r="A8" s="137" t="s">
        <v>174</v>
      </c>
      <c r="C8" s="139"/>
      <c r="E8" s="140"/>
    </row>
    <row r="9" spans="1:11" s="55" customFormat="1" ht="16.5" customHeight="1" x14ac:dyDescent="0.25">
      <c r="A9" s="67" t="s">
        <v>132</v>
      </c>
      <c r="C9" s="80"/>
      <c r="E9" s="77"/>
    </row>
    <row r="10" spans="1:11" s="55" customFormat="1" ht="8.25" customHeight="1" x14ac:dyDescent="0.25">
      <c r="A10" s="71"/>
      <c r="B10" s="71"/>
      <c r="C10" s="81"/>
      <c r="D10" s="71"/>
      <c r="E10" s="82"/>
    </row>
    <row r="11" spans="1:11" s="55" customFormat="1" ht="15.75" customHeight="1" x14ac:dyDescent="0.25">
      <c r="A11" s="71"/>
      <c r="B11" s="71">
        <v>1</v>
      </c>
      <c r="C11" s="83">
        <v>2</v>
      </c>
      <c r="D11" s="84" t="s">
        <v>128</v>
      </c>
      <c r="E11" s="84" t="s">
        <v>89</v>
      </c>
      <c r="F11" s="71"/>
      <c r="G11" s="71"/>
    </row>
    <row r="12" spans="1:11" s="77" customFormat="1" ht="43.5" x14ac:dyDescent="0.25">
      <c r="A12" s="72" t="s">
        <v>4</v>
      </c>
      <c r="B12" s="72" t="s">
        <v>58</v>
      </c>
      <c r="C12" s="73" t="s">
        <v>86</v>
      </c>
      <c r="D12" s="72" t="s">
        <v>127</v>
      </c>
      <c r="E12" s="75" t="s">
        <v>129</v>
      </c>
      <c r="F12" s="76" t="s">
        <v>0</v>
      </c>
      <c r="G12" s="76" t="s">
        <v>1</v>
      </c>
    </row>
    <row r="13" spans="1:11" s="55" customFormat="1" ht="14.25" customHeight="1" x14ac:dyDescent="0.25">
      <c r="A13" s="85">
        <v>3</v>
      </c>
      <c r="B13" s="85" t="s">
        <v>16</v>
      </c>
      <c r="C13" s="86"/>
      <c r="D13" s="87"/>
      <c r="E13" s="87"/>
      <c r="F13" s="88">
        <f>SUM(F14:F20)</f>
        <v>0</v>
      </c>
      <c r="G13" s="88">
        <f>SUM(G14:G20)</f>
        <v>0</v>
      </c>
    </row>
    <row r="14" spans="1:11" s="55" customFormat="1" ht="14.25" customHeight="1" x14ac:dyDescent="0.25">
      <c r="A14" s="89">
        <v>31</v>
      </c>
      <c r="B14" s="89" t="s">
        <v>6</v>
      </c>
      <c r="C14" s="91">
        <f>SUM(C16:C18)</f>
        <v>108487.08</v>
      </c>
      <c r="D14" s="91">
        <f>SUM(D16:D18)</f>
        <v>20233.68</v>
      </c>
      <c r="E14" s="87">
        <f>D14/C14*100</f>
        <v>18.650773898606175</v>
      </c>
      <c r="F14" s="55">
        <v>0</v>
      </c>
      <c r="G14" s="55">
        <v>0</v>
      </c>
    </row>
    <row r="15" spans="1:11" s="55" customFormat="1" ht="14.25" customHeight="1" x14ac:dyDescent="0.25">
      <c r="A15" s="92">
        <v>311</v>
      </c>
      <c r="B15" s="93" t="s">
        <v>7</v>
      </c>
      <c r="C15" s="95"/>
      <c r="D15" s="96"/>
      <c r="E15" s="87"/>
      <c r="F15" s="55">
        <v>0</v>
      </c>
      <c r="G15" s="55">
        <v>0</v>
      </c>
    </row>
    <row r="16" spans="1:11" s="55" customFormat="1" ht="14.25" customHeight="1" x14ac:dyDescent="0.25">
      <c r="A16" s="92">
        <v>3111</v>
      </c>
      <c r="B16" s="97" t="s">
        <v>17</v>
      </c>
      <c r="C16" s="95">
        <v>108487.08</v>
      </c>
      <c r="D16" s="96">
        <v>20233.68</v>
      </c>
      <c r="E16" s="87">
        <f t="shared" ref="E16:E78" si="0">D16/C16*100</f>
        <v>18.650773898606175</v>
      </c>
      <c r="F16" s="55">
        <v>0</v>
      </c>
      <c r="G16" s="55">
        <v>0</v>
      </c>
      <c r="K16" s="114"/>
    </row>
    <row r="17" spans="1:7" s="55" customFormat="1" ht="14.25" customHeight="1" x14ac:dyDescent="0.25">
      <c r="A17" s="92">
        <v>3121</v>
      </c>
      <c r="B17" s="93" t="s">
        <v>8</v>
      </c>
      <c r="C17" s="95"/>
      <c r="D17" s="96"/>
      <c r="E17" s="87" t="e">
        <f t="shared" si="0"/>
        <v>#DIV/0!</v>
      </c>
    </row>
    <row r="18" spans="1:7" s="55" customFormat="1" ht="14.25" customHeight="1" x14ac:dyDescent="0.25">
      <c r="A18" s="92">
        <v>3132</v>
      </c>
      <c r="B18" s="93" t="s">
        <v>18</v>
      </c>
      <c r="C18" s="95"/>
      <c r="D18" s="98"/>
      <c r="E18" s="87" t="e">
        <f t="shared" si="0"/>
        <v>#DIV/0!</v>
      </c>
    </row>
    <row r="19" spans="1:7" s="55" customFormat="1" ht="14.25" customHeight="1" x14ac:dyDescent="0.25">
      <c r="A19" s="92"/>
      <c r="B19" s="93"/>
      <c r="C19" s="95"/>
      <c r="D19" s="98"/>
      <c r="E19" s="87"/>
      <c r="F19" s="55">
        <v>0</v>
      </c>
      <c r="G19" s="55">
        <v>0</v>
      </c>
    </row>
    <row r="20" spans="1:7" s="55" customFormat="1" ht="14.25" customHeight="1" x14ac:dyDescent="0.25">
      <c r="A20" s="92"/>
      <c r="B20" s="99"/>
      <c r="C20" s="95"/>
      <c r="D20" s="101"/>
      <c r="E20" s="87"/>
      <c r="F20" s="55">
        <v>0</v>
      </c>
      <c r="G20" s="55">
        <v>0</v>
      </c>
    </row>
    <row r="21" spans="1:7" s="55" customFormat="1" ht="20.100000000000001" customHeight="1" x14ac:dyDescent="0.25">
      <c r="A21" s="102">
        <v>32</v>
      </c>
      <c r="B21" s="103" t="s">
        <v>9</v>
      </c>
      <c r="C21" s="105">
        <f>SUM(C22+C27+C34+C46)</f>
        <v>13477.21</v>
      </c>
      <c r="D21" s="105">
        <f>SUM(D22+D27+D34+D46)</f>
        <v>6311.51</v>
      </c>
      <c r="E21" s="87">
        <f t="shared" si="0"/>
        <v>46.83098356410563</v>
      </c>
    </row>
    <row r="22" spans="1:7" s="110" customFormat="1" ht="20.100000000000001" customHeight="1" x14ac:dyDescent="0.25">
      <c r="A22" s="106">
        <v>321</v>
      </c>
      <c r="B22" s="107"/>
      <c r="C22" s="109">
        <f>C23+C24+C25+C26</f>
        <v>9840</v>
      </c>
      <c r="D22" s="109">
        <f>D23+D24+D25+D26</f>
        <v>2674.3</v>
      </c>
      <c r="E22" s="87">
        <f t="shared" si="0"/>
        <v>27.177845528455286</v>
      </c>
    </row>
    <row r="23" spans="1:7" s="55" customFormat="1" ht="14.25" customHeight="1" x14ac:dyDescent="0.25">
      <c r="A23" s="92">
        <v>3211</v>
      </c>
      <c r="B23" s="93" t="s">
        <v>19</v>
      </c>
      <c r="C23" s="95">
        <v>1200</v>
      </c>
      <c r="D23" s="98">
        <v>1200</v>
      </c>
      <c r="E23" s="87">
        <f t="shared" si="0"/>
        <v>100</v>
      </c>
    </row>
    <row r="24" spans="1:7" s="55" customFormat="1" ht="14.25" customHeight="1" x14ac:dyDescent="0.25">
      <c r="A24" s="92">
        <v>3212</v>
      </c>
      <c r="B24" s="93" t="s">
        <v>20</v>
      </c>
      <c r="C24" s="95">
        <v>8640</v>
      </c>
      <c r="D24" s="98">
        <v>1474.3</v>
      </c>
      <c r="E24" s="87">
        <f t="shared" si="0"/>
        <v>17.063657407407405</v>
      </c>
    </row>
    <row r="25" spans="1:7" s="55" customFormat="1" ht="14.25" customHeight="1" x14ac:dyDescent="0.25">
      <c r="A25" s="92">
        <v>3213</v>
      </c>
      <c r="B25" s="93" t="s">
        <v>21</v>
      </c>
      <c r="C25" s="95"/>
      <c r="D25" s="98"/>
      <c r="E25" s="87" t="e">
        <f t="shared" si="0"/>
        <v>#DIV/0!</v>
      </c>
    </row>
    <row r="26" spans="1:7" s="55" customFormat="1" ht="14.25" customHeight="1" x14ac:dyDescent="0.25">
      <c r="A26" s="92">
        <v>3214</v>
      </c>
      <c r="B26" s="93" t="s">
        <v>22</v>
      </c>
      <c r="C26" s="95"/>
      <c r="D26" s="98"/>
      <c r="E26" s="87" t="e">
        <f t="shared" si="0"/>
        <v>#DIV/0!</v>
      </c>
    </row>
    <row r="27" spans="1:7" s="110" customFormat="1" ht="14.25" customHeight="1" x14ac:dyDescent="0.25">
      <c r="A27" s="106">
        <v>322</v>
      </c>
      <c r="B27" s="111"/>
      <c r="C27" s="109">
        <f>C28+C29+C30+C31+C32+C33</f>
        <v>0</v>
      </c>
      <c r="D27" s="109">
        <f>D28+D29+D30+D31+D32+D33</f>
        <v>0</v>
      </c>
      <c r="E27" s="87" t="e">
        <f t="shared" si="0"/>
        <v>#DIV/0!</v>
      </c>
    </row>
    <row r="28" spans="1:7" s="55" customFormat="1" ht="14.25" customHeight="1" x14ac:dyDescent="0.25">
      <c r="A28" s="92">
        <v>3221</v>
      </c>
      <c r="B28" s="93" t="s">
        <v>23</v>
      </c>
      <c r="C28" s="95"/>
      <c r="D28" s="98"/>
      <c r="E28" s="87" t="e">
        <f t="shared" si="0"/>
        <v>#DIV/0!</v>
      </c>
    </row>
    <row r="29" spans="1:7" s="55" customFormat="1" ht="14.25" customHeight="1" x14ac:dyDescent="0.25">
      <c r="A29" s="92">
        <v>3222</v>
      </c>
      <c r="B29" s="93" t="s">
        <v>24</v>
      </c>
      <c r="C29" s="95"/>
      <c r="D29" s="98"/>
      <c r="E29" s="87" t="e">
        <f t="shared" si="0"/>
        <v>#DIV/0!</v>
      </c>
    </row>
    <row r="30" spans="1:7" s="55" customFormat="1" ht="14.25" customHeight="1" x14ac:dyDescent="0.25">
      <c r="A30" s="92">
        <v>3223</v>
      </c>
      <c r="B30" s="93" t="s">
        <v>25</v>
      </c>
      <c r="C30" s="95"/>
      <c r="D30" s="98"/>
      <c r="E30" s="87" t="e">
        <f t="shared" si="0"/>
        <v>#DIV/0!</v>
      </c>
      <c r="F30" s="55">
        <v>0</v>
      </c>
      <c r="G30" s="55">
        <v>0</v>
      </c>
    </row>
    <row r="31" spans="1:7" s="55" customFormat="1" ht="14.25" customHeight="1" x14ac:dyDescent="0.25">
      <c r="A31" s="92">
        <v>3224</v>
      </c>
      <c r="B31" s="93" t="s">
        <v>26</v>
      </c>
      <c r="C31" s="95"/>
      <c r="D31" s="98"/>
      <c r="E31" s="87" t="e">
        <f t="shared" si="0"/>
        <v>#DIV/0!</v>
      </c>
      <c r="F31" s="55">
        <v>0</v>
      </c>
      <c r="G31" s="55">
        <v>0</v>
      </c>
    </row>
    <row r="32" spans="1:7" s="55" customFormat="1" ht="14.25" customHeight="1" x14ac:dyDescent="0.25">
      <c r="A32" s="92">
        <v>3225</v>
      </c>
      <c r="B32" s="93" t="s">
        <v>27</v>
      </c>
      <c r="C32" s="95"/>
      <c r="D32" s="98"/>
      <c r="E32" s="87" t="e">
        <f t="shared" si="0"/>
        <v>#DIV/0!</v>
      </c>
    </row>
    <row r="33" spans="1:7" s="55" customFormat="1" ht="14.25" customHeight="1" x14ac:dyDescent="0.25">
      <c r="A33" s="92">
        <v>3227</v>
      </c>
      <c r="B33" s="93" t="s">
        <v>28</v>
      </c>
      <c r="C33" s="95"/>
      <c r="D33" s="98"/>
      <c r="E33" s="87" t="e">
        <f t="shared" si="0"/>
        <v>#DIV/0!</v>
      </c>
    </row>
    <row r="34" spans="1:7" s="110" customFormat="1" ht="14.25" customHeight="1" x14ac:dyDescent="0.25">
      <c r="A34" s="106">
        <v>323</v>
      </c>
      <c r="B34" s="111"/>
      <c r="C34" s="109">
        <f>C35+C36+C37+C38+C39+C40+C41+C42+C43</f>
        <v>3637.21</v>
      </c>
      <c r="D34" s="109">
        <f>D35+D36+D37+D38+D39+D40+D41+D42+D43</f>
        <v>3637.21</v>
      </c>
      <c r="E34" s="87">
        <f t="shared" si="0"/>
        <v>100</v>
      </c>
    </row>
    <row r="35" spans="1:7" s="55" customFormat="1" ht="14.25" customHeight="1" x14ac:dyDescent="0.25">
      <c r="A35" s="92">
        <v>3231</v>
      </c>
      <c r="B35" s="93" t="s">
        <v>29</v>
      </c>
      <c r="C35" s="95"/>
      <c r="D35" s="98"/>
      <c r="E35" s="87" t="e">
        <f t="shared" si="0"/>
        <v>#DIV/0!</v>
      </c>
    </row>
    <row r="36" spans="1:7" s="55" customFormat="1" ht="14.25" customHeight="1" x14ac:dyDescent="0.25">
      <c r="A36" s="92">
        <v>3232</v>
      </c>
      <c r="B36" s="93" t="s">
        <v>30</v>
      </c>
      <c r="C36" s="95"/>
      <c r="D36" s="98"/>
      <c r="E36" s="87" t="e">
        <f t="shared" si="0"/>
        <v>#DIV/0!</v>
      </c>
    </row>
    <row r="37" spans="1:7" s="55" customFormat="1" ht="14.25" customHeight="1" x14ac:dyDescent="0.25">
      <c r="A37" s="92">
        <v>3233</v>
      </c>
      <c r="B37" s="93" t="s">
        <v>31</v>
      </c>
      <c r="C37" s="95"/>
      <c r="D37" s="98"/>
      <c r="E37" s="87" t="e">
        <f t="shared" si="0"/>
        <v>#DIV/0!</v>
      </c>
    </row>
    <row r="38" spans="1:7" s="55" customFormat="1" ht="14.25" customHeight="1" x14ac:dyDescent="0.25">
      <c r="A38" s="92">
        <v>3234</v>
      </c>
      <c r="B38" s="93" t="s">
        <v>32</v>
      </c>
      <c r="C38" s="95"/>
      <c r="D38" s="98"/>
      <c r="E38" s="87" t="e">
        <f t="shared" si="0"/>
        <v>#DIV/0!</v>
      </c>
    </row>
    <row r="39" spans="1:7" s="55" customFormat="1" ht="14.25" customHeight="1" x14ac:dyDescent="0.25">
      <c r="A39" s="92">
        <v>3235</v>
      </c>
      <c r="B39" s="93" t="s">
        <v>33</v>
      </c>
      <c r="C39" s="95"/>
      <c r="D39" s="98"/>
      <c r="E39" s="87" t="e">
        <f t="shared" si="0"/>
        <v>#DIV/0!</v>
      </c>
    </row>
    <row r="40" spans="1:7" s="55" customFormat="1" ht="14.25" customHeight="1" x14ac:dyDescent="0.25">
      <c r="A40" s="92">
        <v>3236</v>
      </c>
      <c r="B40" s="93" t="s">
        <v>34</v>
      </c>
      <c r="C40" s="95"/>
      <c r="D40" s="98"/>
      <c r="E40" s="87" t="e">
        <f t="shared" si="0"/>
        <v>#DIV/0!</v>
      </c>
      <c r="F40" s="55">
        <v>0</v>
      </c>
      <c r="G40" s="55">
        <v>0</v>
      </c>
    </row>
    <row r="41" spans="1:7" s="55" customFormat="1" ht="14.25" customHeight="1" x14ac:dyDescent="0.25">
      <c r="A41" s="92">
        <v>3237</v>
      </c>
      <c r="B41" s="93" t="s">
        <v>35</v>
      </c>
      <c r="C41" s="95">
        <v>3637.21</v>
      </c>
      <c r="D41" s="98">
        <v>3637.21</v>
      </c>
      <c r="E41" s="87">
        <f t="shared" si="0"/>
        <v>100</v>
      </c>
      <c r="F41" s="55">
        <v>0</v>
      </c>
      <c r="G41" s="55">
        <v>0</v>
      </c>
    </row>
    <row r="42" spans="1:7" s="55" customFormat="1" ht="14.25" customHeight="1" x14ac:dyDescent="0.25">
      <c r="A42" s="92">
        <v>3238</v>
      </c>
      <c r="B42" s="93" t="s">
        <v>36</v>
      </c>
      <c r="C42" s="95"/>
      <c r="D42" s="98"/>
      <c r="E42" s="87" t="e">
        <f t="shared" si="0"/>
        <v>#DIV/0!</v>
      </c>
    </row>
    <row r="43" spans="1:7" s="55" customFormat="1" ht="14.25" customHeight="1" x14ac:dyDescent="0.25">
      <c r="A43" s="92">
        <v>3239</v>
      </c>
      <c r="B43" s="93" t="s">
        <v>37</v>
      </c>
      <c r="C43" s="95"/>
      <c r="D43" s="98"/>
      <c r="E43" s="87" t="e">
        <f t="shared" si="0"/>
        <v>#DIV/0!</v>
      </c>
    </row>
    <row r="44" spans="1:7" s="55" customFormat="1" ht="14.25" customHeight="1" x14ac:dyDescent="0.25">
      <c r="A44" s="92"/>
      <c r="B44" s="93"/>
      <c r="C44" s="95"/>
      <c r="D44" s="98"/>
      <c r="E44" s="87" t="e">
        <f t="shared" si="0"/>
        <v>#DIV/0!</v>
      </c>
    </row>
    <row r="45" spans="1:7" s="55" customFormat="1" ht="14.25" customHeight="1" x14ac:dyDescent="0.25">
      <c r="A45" s="92">
        <v>3241</v>
      </c>
      <c r="B45" s="93" t="s">
        <v>10</v>
      </c>
      <c r="C45" s="95"/>
      <c r="D45" s="101"/>
      <c r="E45" s="87" t="e">
        <f t="shared" si="0"/>
        <v>#DIV/0!</v>
      </c>
    </row>
    <row r="46" spans="1:7" s="110" customFormat="1" ht="14.25" customHeight="1" x14ac:dyDescent="0.25">
      <c r="A46" s="106">
        <v>329</v>
      </c>
      <c r="B46" s="111"/>
      <c r="C46" s="109">
        <f>C47+C48+C49+C50+C51+C52</f>
        <v>0</v>
      </c>
      <c r="D46" s="109">
        <f>D47+D48+D49+D50+D51+D52</f>
        <v>0</v>
      </c>
      <c r="E46" s="87" t="e">
        <f t="shared" si="0"/>
        <v>#DIV/0!</v>
      </c>
    </row>
    <row r="47" spans="1:7" s="55" customFormat="1" ht="14.25" customHeight="1" x14ac:dyDescent="0.25">
      <c r="A47" s="92">
        <v>3291</v>
      </c>
      <c r="B47" s="93" t="s">
        <v>38</v>
      </c>
      <c r="C47" s="95"/>
      <c r="D47" s="112"/>
      <c r="E47" s="87" t="e">
        <f t="shared" si="0"/>
        <v>#DIV/0!</v>
      </c>
    </row>
    <row r="48" spans="1:7" s="55" customFormat="1" ht="14.25" customHeight="1" x14ac:dyDescent="0.25">
      <c r="A48" s="92">
        <v>3292</v>
      </c>
      <c r="B48" s="93" t="s">
        <v>39</v>
      </c>
      <c r="C48" s="95"/>
      <c r="D48" s="113"/>
      <c r="E48" s="87" t="e">
        <f t="shared" si="0"/>
        <v>#DIV/0!</v>
      </c>
    </row>
    <row r="49" spans="1:7" s="55" customFormat="1" ht="14.25" customHeight="1" x14ac:dyDescent="0.25">
      <c r="A49" s="92">
        <v>3293</v>
      </c>
      <c r="B49" s="93" t="s">
        <v>40</v>
      </c>
      <c r="C49" s="95"/>
      <c r="D49" s="113"/>
      <c r="E49" s="87" t="e">
        <f t="shared" si="0"/>
        <v>#DIV/0!</v>
      </c>
      <c r="F49" s="55">
        <v>0</v>
      </c>
      <c r="G49" s="55">
        <v>0</v>
      </c>
    </row>
    <row r="50" spans="1:7" s="55" customFormat="1" ht="14.25" customHeight="1" x14ac:dyDescent="0.25">
      <c r="A50" s="92">
        <v>3294</v>
      </c>
      <c r="B50" s="93" t="s">
        <v>41</v>
      </c>
      <c r="C50" s="95"/>
      <c r="D50" s="113"/>
      <c r="E50" s="87" t="e">
        <f t="shared" si="0"/>
        <v>#DIV/0!</v>
      </c>
      <c r="F50" s="55">
        <v>0</v>
      </c>
      <c r="G50" s="55">
        <v>0</v>
      </c>
    </row>
    <row r="51" spans="1:7" s="55" customFormat="1" ht="14.25" customHeight="1" x14ac:dyDescent="0.25">
      <c r="A51" s="92">
        <v>3295</v>
      </c>
      <c r="B51" s="93" t="s">
        <v>42</v>
      </c>
      <c r="C51" s="95"/>
      <c r="D51" s="114"/>
      <c r="E51" s="87" t="e">
        <f t="shared" si="0"/>
        <v>#DIV/0!</v>
      </c>
    </row>
    <row r="52" spans="1:7" s="55" customFormat="1" ht="14.25" customHeight="1" x14ac:dyDescent="0.25">
      <c r="A52" s="92">
        <v>3299</v>
      </c>
      <c r="B52" s="93" t="s">
        <v>11</v>
      </c>
      <c r="C52" s="95"/>
      <c r="D52" s="114"/>
      <c r="E52" s="87" t="e">
        <f t="shared" si="0"/>
        <v>#DIV/0!</v>
      </c>
    </row>
    <row r="53" spans="1:7" s="55" customFormat="1" ht="14.25" customHeight="1" x14ac:dyDescent="0.25">
      <c r="A53" s="92"/>
      <c r="B53" s="93"/>
      <c r="C53" s="95"/>
      <c r="D53" s="114"/>
      <c r="E53" s="87"/>
    </row>
    <row r="54" spans="1:7" s="55" customFormat="1" ht="15" x14ac:dyDescent="0.25">
      <c r="A54" s="92"/>
      <c r="B54" s="93"/>
      <c r="C54" s="95"/>
      <c r="D54" s="114"/>
      <c r="E54" s="87"/>
    </row>
    <row r="55" spans="1:7" s="110" customFormat="1" ht="15" x14ac:dyDescent="0.25">
      <c r="A55" s="106">
        <v>343</v>
      </c>
      <c r="B55" s="107" t="s">
        <v>53</v>
      </c>
      <c r="C55" s="109">
        <f>SUM(C56:C58)</f>
        <v>0</v>
      </c>
      <c r="D55" s="109">
        <f t="shared" ref="D55" si="1">SUM(D56:D58)</f>
        <v>0</v>
      </c>
      <c r="E55" s="87" t="e">
        <f t="shared" si="0"/>
        <v>#DIV/0!</v>
      </c>
    </row>
    <row r="56" spans="1:7" s="55" customFormat="1" ht="15" x14ac:dyDescent="0.25">
      <c r="A56" s="92">
        <v>3431</v>
      </c>
      <c r="B56" s="93" t="s">
        <v>43</v>
      </c>
      <c r="C56" s="95"/>
      <c r="D56" s="114"/>
      <c r="E56" s="87" t="e">
        <f t="shared" si="0"/>
        <v>#DIV/0!</v>
      </c>
    </row>
    <row r="57" spans="1:7" s="55" customFormat="1" ht="15" x14ac:dyDescent="0.25">
      <c r="A57" s="92">
        <v>3432</v>
      </c>
      <c r="B57" s="93" t="s">
        <v>44</v>
      </c>
      <c r="C57" s="95"/>
      <c r="D57" s="114"/>
      <c r="E57" s="87" t="e">
        <f t="shared" si="0"/>
        <v>#DIV/0!</v>
      </c>
    </row>
    <row r="58" spans="1:7" s="55" customFormat="1" ht="15" x14ac:dyDescent="0.25">
      <c r="A58" s="92">
        <v>3433</v>
      </c>
      <c r="B58" s="93" t="s">
        <v>45</v>
      </c>
      <c r="C58" s="95"/>
      <c r="D58" s="114"/>
      <c r="E58" s="87" t="e">
        <f t="shared" si="0"/>
        <v>#DIV/0!</v>
      </c>
    </row>
    <row r="59" spans="1:7" s="55" customFormat="1" ht="15" x14ac:dyDescent="0.25">
      <c r="A59" s="92"/>
      <c r="B59" s="93"/>
      <c r="C59" s="95"/>
      <c r="D59" s="114"/>
      <c r="E59" s="87"/>
    </row>
    <row r="60" spans="1:7" s="55" customFormat="1" ht="45" customHeight="1" x14ac:dyDescent="0.25">
      <c r="A60" s="115">
        <v>369</v>
      </c>
      <c r="B60" s="116" t="s">
        <v>124</v>
      </c>
      <c r="C60" s="117">
        <f t="shared" ref="C60:D60" si="2">C61</f>
        <v>0</v>
      </c>
      <c r="D60" s="117">
        <f t="shared" si="2"/>
        <v>0</v>
      </c>
      <c r="E60" s="87" t="e">
        <f t="shared" si="0"/>
        <v>#DIV/0!</v>
      </c>
    </row>
    <row r="61" spans="1:7" s="55" customFormat="1" ht="45" customHeight="1" x14ac:dyDescent="0.25">
      <c r="A61" s="92">
        <v>3693</v>
      </c>
      <c r="B61" s="118" t="s">
        <v>125</v>
      </c>
      <c r="C61" s="95"/>
      <c r="D61" s="114"/>
      <c r="E61" s="87"/>
    </row>
    <row r="62" spans="1:7" s="55" customFormat="1" ht="15" x14ac:dyDescent="0.25">
      <c r="A62" s="92"/>
      <c r="B62" s="93"/>
      <c r="C62" s="95"/>
      <c r="D62" s="114"/>
      <c r="E62" s="87"/>
    </row>
    <row r="63" spans="1:7" s="110" customFormat="1" ht="15" x14ac:dyDescent="0.25">
      <c r="A63" s="106">
        <v>372</v>
      </c>
      <c r="B63" s="119" t="s">
        <v>54</v>
      </c>
      <c r="C63" s="109">
        <f>C64</f>
        <v>0</v>
      </c>
      <c r="D63" s="109">
        <f>D64</f>
        <v>0</v>
      </c>
      <c r="E63" s="87" t="e">
        <f t="shared" si="0"/>
        <v>#DIV/0!</v>
      </c>
    </row>
    <row r="64" spans="1:7" s="55" customFormat="1" ht="15" x14ac:dyDescent="0.25">
      <c r="A64" s="92" t="s">
        <v>15</v>
      </c>
      <c r="B64" s="93" t="s">
        <v>46</v>
      </c>
      <c r="C64" s="95"/>
      <c r="D64" s="114"/>
      <c r="E64" s="87" t="e">
        <f t="shared" si="0"/>
        <v>#DIV/0!</v>
      </c>
    </row>
    <row r="65" spans="1:5" s="55" customFormat="1" ht="15" x14ac:dyDescent="0.25">
      <c r="A65" s="92"/>
      <c r="B65" s="93"/>
      <c r="C65" s="95"/>
      <c r="D65" s="114"/>
      <c r="E65" s="87"/>
    </row>
    <row r="66" spans="1:5" s="110" customFormat="1" ht="15" x14ac:dyDescent="0.25">
      <c r="A66" s="106">
        <v>422</v>
      </c>
      <c r="B66" s="119" t="s">
        <v>55</v>
      </c>
      <c r="C66" s="109">
        <f>SUM(C67:C71)</f>
        <v>16957.93</v>
      </c>
      <c r="D66" s="109">
        <f>SUM(D67:D71)</f>
        <v>16957.93</v>
      </c>
      <c r="E66" s="87">
        <f t="shared" si="0"/>
        <v>100</v>
      </c>
    </row>
    <row r="67" spans="1:5" s="55" customFormat="1" ht="15" x14ac:dyDescent="0.25">
      <c r="A67" s="92">
        <v>4221</v>
      </c>
      <c r="B67" s="97" t="s">
        <v>47</v>
      </c>
      <c r="C67" s="95">
        <v>16957.93</v>
      </c>
      <c r="D67" s="114">
        <v>16957.93</v>
      </c>
      <c r="E67" s="87">
        <f t="shared" si="0"/>
        <v>100</v>
      </c>
    </row>
    <row r="68" spans="1:5" s="55" customFormat="1" ht="15" x14ac:dyDescent="0.25">
      <c r="A68" s="92">
        <v>4222</v>
      </c>
      <c r="B68" s="97" t="s">
        <v>48</v>
      </c>
      <c r="C68" s="95"/>
      <c r="D68" s="114"/>
      <c r="E68" s="87" t="e">
        <f t="shared" si="0"/>
        <v>#DIV/0!</v>
      </c>
    </row>
    <row r="69" spans="1:5" s="55" customFormat="1" ht="15" x14ac:dyDescent="0.25">
      <c r="A69" s="92">
        <v>4223</v>
      </c>
      <c r="B69" s="97" t="s">
        <v>49</v>
      </c>
      <c r="C69" s="95"/>
      <c r="D69" s="114"/>
      <c r="E69" s="87" t="e">
        <f t="shared" si="0"/>
        <v>#DIV/0!</v>
      </c>
    </row>
    <row r="70" spans="1:5" s="55" customFormat="1" ht="15" x14ac:dyDescent="0.25">
      <c r="A70" s="92">
        <v>4226</v>
      </c>
      <c r="B70" s="97" t="s">
        <v>50</v>
      </c>
      <c r="C70" s="95"/>
      <c r="D70" s="114"/>
      <c r="E70" s="87" t="e">
        <f t="shared" si="0"/>
        <v>#DIV/0!</v>
      </c>
    </row>
    <row r="71" spans="1:5" s="55" customFormat="1" ht="30" x14ac:dyDescent="0.25">
      <c r="A71" s="92">
        <v>4227</v>
      </c>
      <c r="B71" s="120" t="s">
        <v>51</v>
      </c>
      <c r="C71" s="95"/>
      <c r="D71" s="96"/>
      <c r="E71" s="87" t="e">
        <f t="shared" si="0"/>
        <v>#DIV/0!</v>
      </c>
    </row>
    <row r="72" spans="1:5" s="55" customFormat="1" ht="15" x14ac:dyDescent="0.25">
      <c r="A72" s="92"/>
      <c r="B72" s="120"/>
      <c r="C72" s="95"/>
      <c r="D72" s="114"/>
      <c r="E72" s="87"/>
    </row>
    <row r="73" spans="1:5" s="55" customFormat="1" ht="15" x14ac:dyDescent="0.25">
      <c r="A73" s="92">
        <v>4241</v>
      </c>
      <c r="B73" s="97" t="s">
        <v>52</v>
      </c>
      <c r="C73" s="105"/>
      <c r="D73" s="123"/>
      <c r="E73" s="87" t="e">
        <f t="shared" si="0"/>
        <v>#DIV/0!</v>
      </c>
    </row>
    <row r="74" spans="1:5" s="55" customFormat="1" ht="15" x14ac:dyDescent="0.25">
      <c r="A74" s="102">
        <v>45</v>
      </c>
      <c r="B74" s="103" t="s">
        <v>13</v>
      </c>
      <c r="C74" s="105">
        <f>SUM(C75:C76)</f>
        <v>0</v>
      </c>
      <c r="D74" s="105">
        <f>SUM(D75:D76)</f>
        <v>0</v>
      </c>
      <c r="E74" s="87" t="e">
        <f t="shared" si="0"/>
        <v>#DIV/0!</v>
      </c>
    </row>
    <row r="75" spans="1:5" s="55" customFormat="1" ht="15" x14ac:dyDescent="0.25">
      <c r="A75" s="92">
        <v>4511</v>
      </c>
      <c r="B75" s="97" t="s">
        <v>12</v>
      </c>
      <c r="C75" s="95"/>
      <c r="D75" s="114"/>
      <c r="E75" s="87" t="e">
        <f t="shared" si="0"/>
        <v>#DIV/0!</v>
      </c>
    </row>
    <row r="76" spans="1:5" s="55" customFormat="1" ht="15" x14ac:dyDescent="0.25">
      <c r="A76" s="124">
        <v>4521</v>
      </c>
      <c r="B76" s="125" t="s">
        <v>14</v>
      </c>
      <c r="C76" s="127"/>
      <c r="D76" s="114"/>
      <c r="E76" s="87" t="e">
        <f t="shared" si="0"/>
        <v>#DIV/0!</v>
      </c>
    </row>
    <row r="77" spans="1:5" s="55" customFormat="1" ht="15" x14ac:dyDescent="0.25">
      <c r="A77" s="128"/>
      <c r="B77" s="129" t="s">
        <v>2</v>
      </c>
      <c r="C77" s="130">
        <f>SUM(C16:C18)+SUM(C23:C26)+SUM(C28:C33)+SUM(C35:C43)+SUM(C47:C52)+SUM(C56:C58)+C64+SUM(C67:C71)+C73+SUM(C75:C76)+C45</f>
        <v>138922.22</v>
      </c>
      <c r="D77" s="130">
        <f>SUM(D16:D18)+SUM(D23:D26)+SUM(D28:D33)+SUM(D35:D43)+SUM(D47:D52)+SUM(D56:D58)+D64+SUM(D67:D71)+D73+SUM(D75:D76)</f>
        <v>43503.119999999995</v>
      </c>
      <c r="E77" s="87">
        <f t="shared" si="0"/>
        <v>31.314731365507974</v>
      </c>
    </row>
    <row r="78" spans="1:5" s="55" customFormat="1" ht="15" x14ac:dyDescent="0.25">
      <c r="A78" s="131"/>
      <c r="B78" s="132" t="s">
        <v>3</v>
      </c>
      <c r="C78" s="130">
        <f>C14+C21+C55+C63+C66+C73+C74+C45</f>
        <v>138922.22</v>
      </c>
      <c r="D78" s="130">
        <f>D14+D21+D55+D63+D66+D73+D74</f>
        <v>43503.12</v>
      </c>
      <c r="E78" s="87">
        <f t="shared" si="0"/>
        <v>31.314731365507981</v>
      </c>
    </row>
    <row r="81" spans="4:4" x14ac:dyDescent="0.2">
      <c r="D81" s="133"/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zoomScale="150" zoomScaleNormal="150" workbookViewId="0">
      <pane xSplit="1" topLeftCell="B1" activePane="topRight" state="frozen"/>
      <selection activeCell="K22" sqref="K22"/>
      <selection pane="topRight" activeCell="D21" sqref="D21"/>
    </sheetView>
  </sheetViews>
  <sheetFormatPr defaultRowHeight="14.25" x14ac:dyDescent="0.2"/>
  <cols>
    <col min="1" max="1" width="11.140625" style="4" customWidth="1"/>
    <col min="2" max="2" width="29" style="5" customWidth="1"/>
    <col min="3" max="3" width="18.7109375" style="2" customWidth="1"/>
    <col min="4" max="4" width="19.85546875" style="1" customWidth="1"/>
    <col min="5" max="5" width="13.42578125" style="1" customWidth="1"/>
    <col min="6" max="7" width="0" style="1" hidden="1" customWidth="1"/>
    <col min="8" max="8" width="10.42578125" style="1" customWidth="1"/>
    <col min="9" max="16384" width="9.140625" style="1"/>
  </cols>
  <sheetData>
    <row r="1" spans="1:8" s="55" customFormat="1" ht="15" x14ac:dyDescent="0.25">
      <c r="A1" s="54"/>
      <c r="B1" s="216"/>
      <c r="C1" s="216"/>
      <c r="D1" s="216"/>
      <c r="E1" s="216"/>
    </row>
    <row r="2" spans="1:8" s="55" customFormat="1" ht="24.75" customHeight="1" x14ac:dyDescent="0.35">
      <c r="A2" s="217" t="s">
        <v>123</v>
      </c>
      <c r="B2" s="218"/>
      <c r="C2" s="218"/>
      <c r="D2" s="218"/>
      <c r="E2" s="218"/>
      <c r="F2" s="56"/>
      <c r="G2" s="56"/>
      <c r="H2" s="56"/>
    </row>
    <row r="3" spans="1:8" s="55" customFormat="1" ht="20.25" customHeight="1" x14ac:dyDescent="0.25">
      <c r="A3" s="56"/>
      <c r="B3" s="219" t="s">
        <v>126</v>
      </c>
      <c r="C3" s="219"/>
      <c r="D3" s="219"/>
      <c r="E3" s="219"/>
      <c r="F3" s="56"/>
      <c r="G3" s="56"/>
      <c r="H3" s="56"/>
    </row>
    <row r="4" spans="1:8" s="55" customFormat="1" ht="20.25" customHeight="1" x14ac:dyDescent="0.25">
      <c r="A4" s="56"/>
      <c r="B4" s="56"/>
      <c r="C4" s="57"/>
      <c r="D4" s="56"/>
      <c r="E4" s="56"/>
      <c r="F4" s="56"/>
      <c r="G4" s="56"/>
      <c r="H4" s="56"/>
    </row>
    <row r="5" spans="1:8" s="55" customFormat="1" ht="18" customHeight="1" x14ac:dyDescent="0.3">
      <c r="A5" s="58" t="s">
        <v>5</v>
      </c>
      <c r="B5" s="59"/>
      <c r="C5" s="78"/>
      <c r="D5" s="59"/>
      <c r="E5" s="79"/>
    </row>
    <row r="6" spans="1:8" s="55" customFormat="1" ht="15" customHeight="1" x14ac:dyDescent="0.25">
      <c r="A6" s="63" t="s">
        <v>56</v>
      </c>
      <c r="C6" s="80"/>
      <c r="E6" s="77"/>
    </row>
    <row r="7" spans="1:8" s="55" customFormat="1" ht="16.5" customHeight="1" x14ac:dyDescent="0.25">
      <c r="A7" s="67"/>
      <c r="C7" s="80"/>
      <c r="E7" s="77"/>
    </row>
    <row r="8" spans="1:8" s="138" customFormat="1" ht="16.5" customHeight="1" x14ac:dyDescent="0.25">
      <c r="A8" s="137" t="s">
        <v>167</v>
      </c>
      <c r="C8" s="139"/>
      <c r="E8" s="140"/>
    </row>
    <row r="9" spans="1:8" s="55" customFormat="1" ht="16.5" customHeight="1" x14ac:dyDescent="0.25">
      <c r="A9" s="67" t="s">
        <v>133</v>
      </c>
      <c r="C9" s="80"/>
      <c r="E9" s="77"/>
    </row>
    <row r="10" spans="1:8" s="55" customFormat="1" ht="8.25" customHeight="1" x14ac:dyDescent="0.25">
      <c r="A10" s="71"/>
      <c r="B10" s="71"/>
      <c r="C10" s="81"/>
      <c r="D10" s="71"/>
      <c r="E10" s="82"/>
    </row>
    <row r="11" spans="1:8" s="55" customFormat="1" ht="15.75" customHeight="1" x14ac:dyDescent="0.25">
      <c r="A11" s="71"/>
      <c r="B11" s="71">
        <v>1</v>
      </c>
      <c r="C11" s="83">
        <v>2</v>
      </c>
      <c r="D11" s="84" t="s">
        <v>128</v>
      </c>
      <c r="E11" s="84" t="s">
        <v>89</v>
      </c>
      <c r="F11" s="71"/>
      <c r="G11" s="71"/>
    </row>
    <row r="12" spans="1:8" s="77" customFormat="1" ht="43.5" x14ac:dyDescent="0.25">
      <c r="A12" s="72" t="s">
        <v>4</v>
      </c>
      <c r="B12" s="72" t="s">
        <v>58</v>
      </c>
      <c r="C12" s="73" t="s">
        <v>86</v>
      </c>
      <c r="D12" s="72" t="s">
        <v>127</v>
      </c>
      <c r="E12" s="75" t="s">
        <v>129</v>
      </c>
      <c r="F12" s="76" t="s">
        <v>0</v>
      </c>
      <c r="G12" s="76" t="s">
        <v>1</v>
      </c>
    </row>
    <row r="13" spans="1:8" s="55" customFormat="1" ht="14.25" customHeight="1" x14ac:dyDescent="0.25">
      <c r="A13" s="85">
        <v>3</v>
      </c>
      <c r="B13" s="85" t="s">
        <v>16</v>
      </c>
      <c r="C13" s="86"/>
      <c r="D13" s="87"/>
      <c r="E13" s="87"/>
      <c r="F13" s="88">
        <f>SUM(F14:F20)</f>
        <v>0</v>
      </c>
      <c r="G13" s="88">
        <f>SUM(G14:G20)</f>
        <v>0</v>
      </c>
    </row>
    <row r="14" spans="1:8" s="55" customFormat="1" ht="14.25" customHeight="1" x14ac:dyDescent="0.25">
      <c r="A14" s="89">
        <v>31</v>
      </c>
      <c r="B14" s="89" t="s">
        <v>6</v>
      </c>
      <c r="C14" s="91">
        <f>SUM(C16:C18)</f>
        <v>3823.05</v>
      </c>
      <c r="D14" s="91">
        <f>SUM(D16:D18)</f>
        <v>3823.05</v>
      </c>
      <c r="E14" s="87">
        <f>D14/C14*100</f>
        <v>100</v>
      </c>
      <c r="F14" s="55">
        <v>0</v>
      </c>
      <c r="G14" s="55">
        <v>0</v>
      </c>
    </row>
    <row r="15" spans="1:8" s="55" customFormat="1" ht="14.25" customHeight="1" x14ac:dyDescent="0.25">
      <c r="A15" s="92">
        <v>311</v>
      </c>
      <c r="B15" s="93" t="s">
        <v>7</v>
      </c>
      <c r="C15" s="95"/>
      <c r="D15" s="96"/>
      <c r="E15" s="87"/>
      <c r="F15" s="55">
        <v>0</v>
      </c>
      <c r="G15" s="55">
        <v>0</v>
      </c>
    </row>
    <row r="16" spans="1:8" s="55" customFormat="1" ht="14.25" customHeight="1" x14ac:dyDescent="0.25">
      <c r="A16" s="92">
        <v>3111</v>
      </c>
      <c r="B16" s="97" t="s">
        <v>17</v>
      </c>
      <c r="C16" s="95"/>
      <c r="D16" s="96"/>
      <c r="E16" s="87" t="e">
        <f t="shared" ref="E16:E78" si="0">D16/C16*100</f>
        <v>#DIV/0!</v>
      </c>
      <c r="F16" s="55">
        <v>0</v>
      </c>
      <c r="G16" s="55">
        <v>0</v>
      </c>
    </row>
    <row r="17" spans="1:7" s="55" customFormat="1" ht="14.25" customHeight="1" x14ac:dyDescent="0.25">
      <c r="A17" s="92">
        <v>3121</v>
      </c>
      <c r="B17" s="93" t="s">
        <v>8</v>
      </c>
      <c r="C17" s="95">
        <v>3823.05</v>
      </c>
      <c r="D17" s="96">
        <v>3823.05</v>
      </c>
      <c r="E17" s="87">
        <f t="shared" si="0"/>
        <v>100</v>
      </c>
    </row>
    <row r="18" spans="1:7" s="55" customFormat="1" ht="14.25" customHeight="1" x14ac:dyDescent="0.25">
      <c r="A18" s="92">
        <v>3132</v>
      </c>
      <c r="B18" s="93" t="s">
        <v>18</v>
      </c>
      <c r="C18" s="95"/>
      <c r="D18" s="98"/>
      <c r="E18" s="87" t="e">
        <f t="shared" si="0"/>
        <v>#DIV/0!</v>
      </c>
    </row>
    <row r="19" spans="1:7" s="55" customFormat="1" ht="14.25" customHeight="1" x14ac:dyDescent="0.25">
      <c r="A19" s="92"/>
      <c r="B19" s="93"/>
      <c r="C19" s="95"/>
      <c r="D19" s="98"/>
      <c r="E19" s="87"/>
      <c r="F19" s="55">
        <v>0</v>
      </c>
      <c r="G19" s="55">
        <v>0</v>
      </c>
    </row>
    <row r="20" spans="1:7" s="55" customFormat="1" ht="14.25" customHeight="1" x14ac:dyDescent="0.25">
      <c r="A20" s="92"/>
      <c r="B20" s="99"/>
      <c r="C20" s="95"/>
      <c r="D20" s="101"/>
      <c r="E20" s="87"/>
      <c r="F20" s="55">
        <v>0</v>
      </c>
      <c r="G20" s="55">
        <v>0</v>
      </c>
    </row>
    <row r="21" spans="1:7" s="55" customFormat="1" ht="20.100000000000001" customHeight="1" x14ac:dyDescent="0.25">
      <c r="A21" s="102">
        <v>32</v>
      </c>
      <c r="B21" s="103" t="s">
        <v>9</v>
      </c>
      <c r="C21" s="105">
        <f>SUM(C22+C27+C34+C46)</f>
        <v>8800.7900000000009</v>
      </c>
      <c r="D21" s="105">
        <f>SUM(D22+D27+D34+D46)</f>
        <v>7200.79</v>
      </c>
      <c r="E21" s="87">
        <f t="shared" si="0"/>
        <v>81.819813903070056</v>
      </c>
    </row>
    <row r="22" spans="1:7" s="110" customFormat="1" ht="20.100000000000001" customHeight="1" x14ac:dyDescent="0.25">
      <c r="A22" s="106">
        <v>321</v>
      </c>
      <c r="B22" s="107"/>
      <c r="C22" s="109">
        <f>C23+C24+C25+C26</f>
        <v>2020.93</v>
      </c>
      <c r="D22" s="109">
        <f>D23+D24+D25+D26</f>
        <v>2020.93</v>
      </c>
      <c r="E22" s="87">
        <f t="shared" si="0"/>
        <v>100</v>
      </c>
    </row>
    <row r="23" spans="1:7" s="55" customFormat="1" ht="14.25" customHeight="1" x14ac:dyDescent="0.25">
      <c r="A23" s="92">
        <v>3211</v>
      </c>
      <c r="B23" s="93" t="s">
        <v>19</v>
      </c>
      <c r="C23" s="95">
        <v>2020.93</v>
      </c>
      <c r="D23" s="98">
        <v>2020.93</v>
      </c>
      <c r="E23" s="87">
        <f t="shared" si="0"/>
        <v>100</v>
      </c>
    </row>
    <row r="24" spans="1:7" s="55" customFormat="1" ht="14.25" customHeight="1" x14ac:dyDescent="0.25">
      <c r="A24" s="92">
        <v>3212</v>
      </c>
      <c r="B24" s="93" t="s">
        <v>20</v>
      </c>
      <c r="C24" s="95"/>
      <c r="D24" s="98"/>
      <c r="E24" s="87" t="e">
        <f t="shared" si="0"/>
        <v>#DIV/0!</v>
      </c>
    </row>
    <row r="25" spans="1:7" s="55" customFormat="1" ht="14.25" customHeight="1" x14ac:dyDescent="0.25">
      <c r="A25" s="92">
        <v>3213</v>
      </c>
      <c r="B25" s="93" t="s">
        <v>21</v>
      </c>
      <c r="C25" s="95"/>
      <c r="D25" s="98"/>
      <c r="E25" s="87" t="e">
        <f t="shared" si="0"/>
        <v>#DIV/0!</v>
      </c>
    </row>
    <row r="26" spans="1:7" s="55" customFormat="1" ht="14.25" customHeight="1" x14ac:dyDescent="0.25">
      <c r="A26" s="92">
        <v>3214</v>
      </c>
      <c r="B26" s="93" t="s">
        <v>22</v>
      </c>
      <c r="C26" s="95"/>
      <c r="D26" s="98"/>
      <c r="E26" s="87" t="e">
        <f t="shared" si="0"/>
        <v>#DIV/0!</v>
      </c>
    </row>
    <row r="27" spans="1:7" s="110" customFormat="1" ht="14.25" customHeight="1" x14ac:dyDescent="0.25">
      <c r="A27" s="106">
        <v>322</v>
      </c>
      <c r="B27" s="111"/>
      <c r="C27" s="109">
        <f>C28+C29+C30+C31+C32+C33</f>
        <v>1179.8599999999999</v>
      </c>
      <c r="D27" s="109">
        <f>D28+D29+D30+D31+D32+D33</f>
        <v>1179.8599999999999</v>
      </c>
      <c r="E27" s="87">
        <f t="shared" si="0"/>
        <v>100</v>
      </c>
    </row>
    <row r="28" spans="1:7" s="55" customFormat="1" ht="14.25" customHeight="1" x14ac:dyDescent="0.25">
      <c r="A28" s="92">
        <v>3221</v>
      </c>
      <c r="B28" s="93" t="s">
        <v>23</v>
      </c>
      <c r="C28" s="95">
        <v>275.06</v>
      </c>
      <c r="D28" s="98">
        <v>275.06</v>
      </c>
      <c r="E28" s="87">
        <f t="shared" si="0"/>
        <v>100</v>
      </c>
    </row>
    <row r="29" spans="1:7" s="55" customFormat="1" ht="14.25" customHeight="1" x14ac:dyDescent="0.25">
      <c r="A29" s="92">
        <v>3222</v>
      </c>
      <c r="B29" s="93" t="s">
        <v>24</v>
      </c>
      <c r="C29" s="95"/>
      <c r="D29" s="98"/>
      <c r="E29" s="87" t="e">
        <f t="shared" si="0"/>
        <v>#DIV/0!</v>
      </c>
    </row>
    <row r="30" spans="1:7" s="55" customFormat="1" ht="14.25" customHeight="1" x14ac:dyDescent="0.25">
      <c r="A30" s="92">
        <v>3223</v>
      </c>
      <c r="B30" s="93" t="s">
        <v>25</v>
      </c>
      <c r="C30" s="95"/>
      <c r="D30" s="98"/>
      <c r="E30" s="87" t="e">
        <f t="shared" si="0"/>
        <v>#DIV/0!</v>
      </c>
      <c r="F30" s="55">
        <v>0</v>
      </c>
      <c r="G30" s="55">
        <v>0</v>
      </c>
    </row>
    <row r="31" spans="1:7" s="55" customFormat="1" ht="14.25" customHeight="1" x14ac:dyDescent="0.25">
      <c r="A31" s="92">
        <v>3224</v>
      </c>
      <c r="B31" s="93" t="s">
        <v>26</v>
      </c>
      <c r="C31" s="95">
        <v>904.8</v>
      </c>
      <c r="D31" s="98">
        <v>904.8</v>
      </c>
      <c r="E31" s="87">
        <f t="shared" si="0"/>
        <v>100</v>
      </c>
      <c r="F31" s="55">
        <v>0</v>
      </c>
      <c r="G31" s="55">
        <v>0</v>
      </c>
    </row>
    <row r="32" spans="1:7" s="55" customFormat="1" ht="14.25" customHeight="1" x14ac:dyDescent="0.25">
      <c r="A32" s="92">
        <v>3225</v>
      </c>
      <c r="B32" s="93" t="s">
        <v>27</v>
      </c>
      <c r="C32" s="95"/>
      <c r="D32" s="98"/>
      <c r="E32" s="87" t="e">
        <f t="shared" si="0"/>
        <v>#DIV/0!</v>
      </c>
    </row>
    <row r="33" spans="1:7" s="55" customFormat="1" ht="14.25" customHeight="1" x14ac:dyDescent="0.25">
      <c r="A33" s="92">
        <v>3227</v>
      </c>
      <c r="B33" s="93" t="s">
        <v>28</v>
      </c>
      <c r="C33" s="95"/>
      <c r="D33" s="98"/>
      <c r="E33" s="87" t="e">
        <f t="shared" si="0"/>
        <v>#DIV/0!</v>
      </c>
    </row>
    <row r="34" spans="1:7" s="110" customFormat="1" ht="14.25" customHeight="1" x14ac:dyDescent="0.25">
      <c r="A34" s="106">
        <v>323</v>
      </c>
      <c r="B34" s="111"/>
      <c r="C34" s="109">
        <f>C35+C36+C37+C38+C39+C40+C41+C42+C43</f>
        <v>4000</v>
      </c>
      <c r="D34" s="109">
        <f>D35+D36+D37+D38+D39+D40+D41+D42+D43</f>
        <v>4000</v>
      </c>
      <c r="E34" s="87">
        <f t="shared" si="0"/>
        <v>100</v>
      </c>
    </row>
    <row r="35" spans="1:7" s="55" customFormat="1" ht="14.25" customHeight="1" x14ac:dyDescent="0.25">
      <c r="A35" s="92">
        <v>3231</v>
      </c>
      <c r="B35" s="93" t="s">
        <v>29</v>
      </c>
      <c r="C35" s="95">
        <v>4000</v>
      </c>
      <c r="D35" s="98">
        <v>4000</v>
      </c>
      <c r="E35" s="87">
        <f t="shared" si="0"/>
        <v>100</v>
      </c>
    </row>
    <row r="36" spans="1:7" s="55" customFormat="1" ht="14.25" customHeight="1" x14ac:dyDescent="0.25">
      <c r="A36" s="92">
        <v>3232</v>
      </c>
      <c r="B36" s="93" t="s">
        <v>30</v>
      </c>
      <c r="C36" s="95"/>
      <c r="D36" s="98"/>
      <c r="E36" s="87" t="e">
        <f t="shared" si="0"/>
        <v>#DIV/0!</v>
      </c>
    </row>
    <row r="37" spans="1:7" s="55" customFormat="1" ht="14.25" customHeight="1" x14ac:dyDescent="0.25">
      <c r="A37" s="92">
        <v>3233</v>
      </c>
      <c r="B37" s="93" t="s">
        <v>31</v>
      </c>
      <c r="C37" s="95"/>
      <c r="D37" s="98"/>
      <c r="E37" s="87" t="e">
        <f t="shared" si="0"/>
        <v>#DIV/0!</v>
      </c>
    </row>
    <row r="38" spans="1:7" s="55" customFormat="1" ht="14.25" customHeight="1" x14ac:dyDescent="0.25">
      <c r="A38" s="92">
        <v>3234</v>
      </c>
      <c r="B38" s="93" t="s">
        <v>32</v>
      </c>
      <c r="C38" s="95"/>
      <c r="D38" s="98"/>
      <c r="E38" s="87" t="e">
        <f t="shared" si="0"/>
        <v>#DIV/0!</v>
      </c>
    </row>
    <row r="39" spans="1:7" s="55" customFormat="1" ht="14.25" customHeight="1" x14ac:dyDescent="0.25">
      <c r="A39" s="92">
        <v>3235</v>
      </c>
      <c r="B39" s="93" t="s">
        <v>33</v>
      </c>
      <c r="C39" s="95"/>
      <c r="D39" s="98"/>
      <c r="E39" s="87" t="e">
        <f t="shared" si="0"/>
        <v>#DIV/0!</v>
      </c>
    </row>
    <row r="40" spans="1:7" s="55" customFormat="1" ht="14.25" customHeight="1" x14ac:dyDescent="0.25">
      <c r="A40" s="92">
        <v>3236</v>
      </c>
      <c r="B40" s="93" t="s">
        <v>34</v>
      </c>
      <c r="C40" s="95"/>
      <c r="D40" s="98"/>
      <c r="E40" s="87" t="e">
        <f t="shared" si="0"/>
        <v>#DIV/0!</v>
      </c>
      <c r="F40" s="55">
        <v>0</v>
      </c>
      <c r="G40" s="55">
        <v>0</v>
      </c>
    </row>
    <row r="41" spans="1:7" s="55" customFormat="1" ht="14.25" customHeight="1" x14ac:dyDescent="0.25">
      <c r="A41" s="92">
        <v>3237</v>
      </c>
      <c r="B41" s="93" t="s">
        <v>35</v>
      </c>
      <c r="C41" s="95"/>
      <c r="D41" s="98"/>
      <c r="E41" s="87" t="e">
        <f t="shared" si="0"/>
        <v>#DIV/0!</v>
      </c>
      <c r="F41" s="55">
        <v>0</v>
      </c>
      <c r="G41" s="55">
        <v>0</v>
      </c>
    </row>
    <row r="42" spans="1:7" s="55" customFormat="1" ht="14.25" customHeight="1" x14ac:dyDescent="0.25">
      <c r="A42" s="92">
        <v>3238</v>
      </c>
      <c r="B42" s="93" t="s">
        <v>36</v>
      </c>
      <c r="C42" s="95"/>
      <c r="D42" s="98"/>
      <c r="E42" s="87" t="e">
        <f t="shared" si="0"/>
        <v>#DIV/0!</v>
      </c>
    </row>
    <row r="43" spans="1:7" s="55" customFormat="1" ht="14.25" customHeight="1" x14ac:dyDescent="0.25">
      <c r="A43" s="92">
        <v>3239</v>
      </c>
      <c r="B43" s="93" t="s">
        <v>37</v>
      </c>
      <c r="C43" s="95"/>
      <c r="D43" s="98"/>
      <c r="E43" s="87" t="e">
        <f t="shared" si="0"/>
        <v>#DIV/0!</v>
      </c>
    </row>
    <row r="44" spans="1:7" s="55" customFormat="1" ht="14.25" customHeight="1" x14ac:dyDescent="0.25">
      <c r="A44" s="92"/>
      <c r="B44" s="93"/>
      <c r="C44" s="95"/>
      <c r="D44" s="98"/>
      <c r="E44" s="87" t="e">
        <f t="shared" si="0"/>
        <v>#DIV/0!</v>
      </c>
    </row>
    <row r="45" spans="1:7" s="55" customFormat="1" ht="14.25" customHeight="1" x14ac:dyDescent="0.25">
      <c r="A45" s="92">
        <v>3241</v>
      </c>
      <c r="B45" s="93" t="s">
        <v>10</v>
      </c>
      <c r="C45" s="95"/>
      <c r="D45" s="101"/>
      <c r="E45" s="87" t="e">
        <f t="shared" si="0"/>
        <v>#DIV/0!</v>
      </c>
    </row>
    <row r="46" spans="1:7" s="110" customFormat="1" ht="14.25" customHeight="1" x14ac:dyDescent="0.25">
      <c r="A46" s="106">
        <v>329</v>
      </c>
      <c r="B46" s="111"/>
      <c r="C46" s="109">
        <f>C47+C48+C49+C50+C51+C52</f>
        <v>1600</v>
      </c>
      <c r="D46" s="109">
        <f>D47+D48+D49+D50+D51+D52</f>
        <v>0</v>
      </c>
      <c r="E46" s="87">
        <f t="shared" si="0"/>
        <v>0</v>
      </c>
    </row>
    <row r="47" spans="1:7" s="55" customFormat="1" ht="14.25" customHeight="1" x14ac:dyDescent="0.25">
      <c r="A47" s="92">
        <v>3291</v>
      </c>
      <c r="B47" s="93" t="s">
        <v>38</v>
      </c>
      <c r="C47" s="95"/>
      <c r="D47" s="112"/>
      <c r="E47" s="87" t="e">
        <f t="shared" si="0"/>
        <v>#DIV/0!</v>
      </c>
    </row>
    <row r="48" spans="1:7" s="55" customFormat="1" ht="14.25" customHeight="1" x14ac:dyDescent="0.25">
      <c r="A48" s="92">
        <v>3292</v>
      </c>
      <c r="B48" s="93" t="s">
        <v>39</v>
      </c>
      <c r="C48" s="95"/>
      <c r="D48" s="113"/>
      <c r="E48" s="87" t="e">
        <f t="shared" si="0"/>
        <v>#DIV/0!</v>
      </c>
    </row>
    <row r="49" spans="1:7" s="55" customFormat="1" ht="14.25" customHeight="1" x14ac:dyDescent="0.25">
      <c r="A49" s="92">
        <v>3293</v>
      </c>
      <c r="B49" s="93" t="s">
        <v>40</v>
      </c>
      <c r="C49" s="95"/>
      <c r="D49" s="113"/>
      <c r="E49" s="87" t="e">
        <f t="shared" si="0"/>
        <v>#DIV/0!</v>
      </c>
      <c r="F49" s="55">
        <v>0</v>
      </c>
      <c r="G49" s="55">
        <v>0</v>
      </c>
    </row>
    <row r="50" spans="1:7" s="55" customFormat="1" ht="14.25" customHeight="1" x14ac:dyDescent="0.25">
      <c r="A50" s="92">
        <v>3294</v>
      </c>
      <c r="B50" s="93" t="s">
        <v>41</v>
      </c>
      <c r="C50" s="95"/>
      <c r="D50" s="113"/>
      <c r="E50" s="87" t="e">
        <f t="shared" si="0"/>
        <v>#DIV/0!</v>
      </c>
      <c r="F50" s="55">
        <v>0</v>
      </c>
      <c r="G50" s="55">
        <v>0</v>
      </c>
    </row>
    <row r="51" spans="1:7" s="55" customFormat="1" ht="14.25" customHeight="1" x14ac:dyDescent="0.25">
      <c r="A51" s="92">
        <v>3295</v>
      </c>
      <c r="B51" s="93" t="s">
        <v>42</v>
      </c>
      <c r="C51" s="95"/>
      <c r="D51" s="114"/>
      <c r="E51" s="87" t="e">
        <f t="shared" si="0"/>
        <v>#DIV/0!</v>
      </c>
    </row>
    <row r="52" spans="1:7" s="55" customFormat="1" ht="14.25" customHeight="1" x14ac:dyDescent="0.25">
      <c r="A52" s="92">
        <v>3299</v>
      </c>
      <c r="B52" s="93" t="s">
        <v>11</v>
      </c>
      <c r="C52" s="95">
        <v>1600</v>
      </c>
      <c r="D52" s="114"/>
      <c r="E52" s="87">
        <f t="shared" si="0"/>
        <v>0</v>
      </c>
    </row>
    <row r="53" spans="1:7" s="55" customFormat="1" ht="14.25" customHeight="1" x14ac:dyDescent="0.25">
      <c r="A53" s="92"/>
      <c r="B53" s="93"/>
      <c r="C53" s="95"/>
      <c r="D53" s="114"/>
      <c r="E53" s="87"/>
    </row>
    <row r="54" spans="1:7" s="55" customFormat="1" ht="15" x14ac:dyDescent="0.25">
      <c r="A54" s="92"/>
      <c r="B54" s="93"/>
      <c r="C54" s="95"/>
      <c r="D54" s="114"/>
      <c r="E54" s="87"/>
    </row>
    <row r="55" spans="1:7" s="110" customFormat="1" ht="15" x14ac:dyDescent="0.25">
      <c r="A55" s="106">
        <v>343</v>
      </c>
      <c r="B55" s="107" t="s">
        <v>53</v>
      </c>
      <c r="C55" s="109">
        <f>SUM(C56:C58)</f>
        <v>0</v>
      </c>
      <c r="D55" s="109">
        <f t="shared" ref="D55" si="1">SUM(D56:D58)</f>
        <v>0</v>
      </c>
      <c r="E55" s="87" t="e">
        <f t="shared" si="0"/>
        <v>#DIV/0!</v>
      </c>
    </row>
    <row r="56" spans="1:7" s="55" customFormat="1" ht="15" x14ac:dyDescent="0.25">
      <c r="A56" s="92">
        <v>3431</v>
      </c>
      <c r="B56" s="93" t="s">
        <v>43</v>
      </c>
      <c r="C56" s="95"/>
      <c r="D56" s="114"/>
      <c r="E56" s="87" t="e">
        <f t="shared" si="0"/>
        <v>#DIV/0!</v>
      </c>
    </row>
    <row r="57" spans="1:7" s="55" customFormat="1" ht="15" x14ac:dyDescent="0.25">
      <c r="A57" s="92">
        <v>3432</v>
      </c>
      <c r="B57" s="93" t="s">
        <v>44</v>
      </c>
      <c r="C57" s="95"/>
      <c r="D57" s="114"/>
      <c r="E57" s="87" t="e">
        <f t="shared" si="0"/>
        <v>#DIV/0!</v>
      </c>
    </row>
    <row r="58" spans="1:7" s="55" customFormat="1" ht="15" x14ac:dyDescent="0.25">
      <c r="A58" s="92">
        <v>3433</v>
      </c>
      <c r="B58" s="93" t="s">
        <v>45</v>
      </c>
      <c r="C58" s="95"/>
      <c r="D58" s="114"/>
      <c r="E58" s="87" t="e">
        <f t="shared" si="0"/>
        <v>#DIV/0!</v>
      </c>
    </row>
    <row r="59" spans="1:7" s="55" customFormat="1" ht="15" x14ac:dyDescent="0.25">
      <c r="A59" s="92"/>
      <c r="B59" s="93"/>
      <c r="C59" s="95"/>
      <c r="D59" s="114"/>
      <c r="E59" s="87"/>
    </row>
    <row r="60" spans="1:7" s="55" customFormat="1" ht="45" customHeight="1" x14ac:dyDescent="0.25">
      <c r="A60" s="115">
        <v>369</v>
      </c>
      <c r="B60" s="116" t="s">
        <v>124</v>
      </c>
      <c r="C60" s="117">
        <f t="shared" ref="C60:D60" si="2">C61</f>
        <v>0</v>
      </c>
      <c r="D60" s="117">
        <f t="shared" si="2"/>
        <v>0</v>
      </c>
      <c r="E60" s="87" t="e">
        <f t="shared" si="0"/>
        <v>#DIV/0!</v>
      </c>
    </row>
    <row r="61" spans="1:7" s="55" customFormat="1" ht="45" customHeight="1" x14ac:dyDescent="0.25">
      <c r="A61" s="92">
        <v>3693</v>
      </c>
      <c r="B61" s="118" t="s">
        <v>125</v>
      </c>
      <c r="C61" s="95"/>
      <c r="D61" s="114"/>
      <c r="E61" s="87"/>
    </row>
    <row r="62" spans="1:7" s="55" customFormat="1" ht="15" x14ac:dyDescent="0.25">
      <c r="A62" s="92"/>
      <c r="B62" s="93"/>
      <c r="C62" s="95"/>
      <c r="D62" s="114"/>
      <c r="E62" s="87"/>
    </row>
    <row r="63" spans="1:7" s="110" customFormat="1" ht="15" x14ac:dyDescent="0.25">
      <c r="A63" s="106">
        <v>372</v>
      </c>
      <c r="B63" s="119" t="s">
        <v>54</v>
      </c>
      <c r="C63" s="109">
        <f>C64</f>
        <v>0</v>
      </c>
      <c r="D63" s="109">
        <f>D64</f>
        <v>0</v>
      </c>
      <c r="E63" s="87" t="e">
        <f t="shared" si="0"/>
        <v>#DIV/0!</v>
      </c>
    </row>
    <row r="64" spans="1:7" s="55" customFormat="1" ht="15" x14ac:dyDescent="0.25">
      <c r="A64" s="92" t="s">
        <v>15</v>
      </c>
      <c r="B64" s="93" t="s">
        <v>46</v>
      </c>
      <c r="C64" s="95"/>
      <c r="D64" s="114"/>
      <c r="E64" s="87" t="e">
        <f t="shared" si="0"/>
        <v>#DIV/0!</v>
      </c>
    </row>
    <row r="65" spans="1:5" s="55" customFormat="1" ht="15" x14ac:dyDescent="0.25">
      <c r="A65" s="92"/>
      <c r="B65" s="93"/>
      <c r="C65" s="95"/>
      <c r="D65" s="114"/>
      <c r="E65" s="87"/>
    </row>
    <row r="66" spans="1:5" s="110" customFormat="1" ht="15" x14ac:dyDescent="0.25">
      <c r="A66" s="106">
        <v>422</v>
      </c>
      <c r="B66" s="119" t="s">
        <v>55</v>
      </c>
      <c r="C66" s="109">
        <f>SUM(C67:C71)</f>
        <v>0</v>
      </c>
      <c r="D66" s="109">
        <f>SUM(D67:D71)</f>
        <v>0</v>
      </c>
      <c r="E66" s="87" t="e">
        <f t="shared" si="0"/>
        <v>#DIV/0!</v>
      </c>
    </row>
    <row r="67" spans="1:5" s="55" customFormat="1" ht="15" x14ac:dyDescent="0.25">
      <c r="A67" s="92">
        <v>4221</v>
      </c>
      <c r="B67" s="97" t="s">
        <v>47</v>
      </c>
      <c r="C67" s="95"/>
      <c r="D67" s="114"/>
      <c r="E67" s="87" t="e">
        <f t="shared" si="0"/>
        <v>#DIV/0!</v>
      </c>
    </row>
    <row r="68" spans="1:5" s="55" customFormat="1" ht="15" x14ac:dyDescent="0.25">
      <c r="A68" s="92">
        <v>4222</v>
      </c>
      <c r="B68" s="97" t="s">
        <v>48</v>
      </c>
      <c r="C68" s="95"/>
      <c r="D68" s="114"/>
      <c r="E68" s="87" t="e">
        <f t="shared" si="0"/>
        <v>#DIV/0!</v>
      </c>
    </row>
    <row r="69" spans="1:5" s="55" customFormat="1" ht="15" x14ac:dyDescent="0.25">
      <c r="A69" s="92">
        <v>4223</v>
      </c>
      <c r="B69" s="97" t="s">
        <v>49</v>
      </c>
      <c r="C69" s="95"/>
      <c r="D69" s="114"/>
      <c r="E69" s="87" t="e">
        <f t="shared" si="0"/>
        <v>#DIV/0!</v>
      </c>
    </row>
    <row r="70" spans="1:5" s="55" customFormat="1" ht="15" x14ac:dyDescent="0.25">
      <c r="A70" s="92">
        <v>4226</v>
      </c>
      <c r="B70" s="97" t="s">
        <v>50</v>
      </c>
      <c r="C70" s="95"/>
      <c r="D70" s="114"/>
      <c r="E70" s="87" t="e">
        <f t="shared" si="0"/>
        <v>#DIV/0!</v>
      </c>
    </row>
    <row r="71" spans="1:5" s="55" customFormat="1" ht="30" x14ac:dyDescent="0.25">
      <c r="A71" s="92">
        <v>4227</v>
      </c>
      <c r="B71" s="120" t="s">
        <v>51</v>
      </c>
      <c r="C71" s="95"/>
      <c r="D71" s="96"/>
      <c r="E71" s="87" t="e">
        <f t="shared" si="0"/>
        <v>#DIV/0!</v>
      </c>
    </row>
    <row r="72" spans="1:5" s="55" customFormat="1" ht="15" x14ac:dyDescent="0.25">
      <c r="A72" s="92"/>
      <c r="B72" s="120"/>
      <c r="C72" s="95"/>
      <c r="D72" s="114"/>
      <c r="E72" s="87"/>
    </row>
    <row r="73" spans="1:5" s="55" customFormat="1" ht="15" x14ac:dyDescent="0.25">
      <c r="A73" s="92">
        <v>4241</v>
      </c>
      <c r="B73" s="97" t="s">
        <v>52</v>
      </c>
      <c r="C73" s="105">
        <v>1797</v>
      </c>
      <c r="D73" s="123">
        <v>1797</v>
      </c>
      <c r="E73" s="87">
        <f t="shared" si="0"/>
        <v>100</v>
      </c>
    </row>
    <row r="74" spans="1:5" s="55" customFormat="1" ht="15" x14ac:dyDescent="0.25">
      <c r="A74" s="102">
        <v>45</v>
      </c>
      <c r="B74" s="103" t="s">
        <v>13</v>
      </c>
      <c r="C74" s="105">
        <f>SUM(C75:C76)</f>
        <v>0</v>
      </c>
      <c r="D74" s="105">
        <f>SUM(D75:D76)</f>
        <v>0</v>
      </c>
      <c r="E74" s="87" t="e">
        <f t="shared" si="0"/>
        <v>#DIV/0!</v>
      </c>
    </row>
    <row r="75" spans="1:5" s="55" customFormat="1" ht="15" x14ac:dyDescent="0.25">
      <c r="A75" s="92">
        <v>4511</v>
      </c>
      <c r="B75" s="97" t="s">
        <v>12</v>
      </c>
      <c r="C75" s="95"/>
      <c r="D75" s="114"/>
      <c r="E75" s="87" t="e">
        <f t="shared" si="0"/>
        <v>#DIV/0!</v>
      </c>
    </row>
    <row r="76" spans="1:5" s="55" customFormat="1" ht="15" x14ac:dyDescent="0.25">
      <c r="A76" s="124">
        <v>4521</v>
      </c>
      <c r="B76" s="125" t="s">
        <v>14</v>
      </c>
      <c r="C76" s="127"/>
      <c r="D76" s="114"/>
      <c r="E76" s="87" t="e">
        <f t="shared" si="0"/>
        <v>#DIV/0!</v>
      </c>
    </row>
    <row r="77" spans="1:5" s="55" customFormat="1" ht="15" x14ac:dyDescent="0.25">
      <c r="A77" s="128"/>
      <c r="B77" s="129" t="s">
        <v>2</v>
      </c>
      <c r="C77" s="130">
        <f>SUM(C16:C18)+SUM(C23:C26)+SUM(C28:C33)+SUM(C35:C43)+SUM(C47:C52)+SUM(C56:C58)+C64+SUM(C67:C71)+C73+SUM(C75:C76)+C45</f>
        <v>14420.84</v>
      </c>
      <c r="D77" s="130">
        <f>SUM(D16:D18)+SUM(D23:D26)+SUM(D28:D33)+SUM(D35:D43)+SUM(D47:D52)+SUM(D56:D58)+D64+SUM(D67:D71)+D73+SUM(D75:D76)</f>
        <v>12820.84</v>
      </c>
      <c r="E77" s="87">
        <f t="shared" si="0"/>
        <v>88.904945897742437</v>
      </c>
    </row>
    <row r="78" spans="1:5" s="55" customFormat="1" ht="15" x14ac:dyDescent="0.25">
      <c r="A78" s="131"/>
      <c r="B78" s="132" t="s">
        <v>3</v>
      </c>
      <c r="C78" s="130">
        <f>C14+C21+C55+C63+C66+C73+C74+C45</f>
        <v>14420.84</v>
      </c>
      <c r="D78" s="130">
        <f>D14+D21+D55+D63+D66+D73+D74</f>
        <v>12820.84</v>
      </c>
      <c r="E78" s="87">
        <f t="shared" si="0"/>
        <v>88.904945897742437</v>
      </c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="160" zoomScaleNormal="160" workbookViewId="0">
      <selection activeCell="F36" sqref="F36"/>
    </sheetView>
  </sheetViews>
  <sheetFormatPr defaultRowHeight="12.75" x14ac:dyDescent="0.2"/>
  <cols>
    <col min="1" max="1" width="1.5703125" customWidth="1"/>
    <col min="2" max="2" width="9.140625" customWidth="1"/>
    <col min="4" max="4" width="9.85546875" customWidth="1"/>
    <col min="5" max="5" width="10.7109375" customWidth="1"/>
    <col min="6" max="6" width="12" customWidth="1"/>
    <col min="7" max="7" width="10.85546875" customWidth="1"/>
    <col min="8" max="8" width="10.42578125" customWidth="1"/>
    <col min="9" max="9" width="8.5703125" customWidth="1"/>
    <col min="10" max="10" width="12.7109375" customWidth="1"/>
    <col min="11" max="11" width="9" customWidth="1"/>
    <col min="13" max="13" width="11.5703125" style="162" customWidth="1"/>
    <col min="14" max="15" width="11.7109375" customWidth="1"/>
  </cols>
  <sheetData>
    <row r="1" spans="1:15" s="55" customFormat="1" ht="24.75" customHeight="1" x14ac:dyDescent="0.3">
      <c r="A1" s="217" t="s">
        <v>123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s="55" customFormat="1" ht="21" customHeight="1" x14ac:dyDescent="0.25">
      <c r="A2" s="219" t="s">
        <v>126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5" s="55" customFormat="1" ht="9.75" customHeight="1" x14ac:dyDescent="0.25">
      <c r="A3" s="56"/>
      <c r="B3" s="56"/>
      <c r="C3" s="57"/>
      <c r="D3" s="56"/>
      <c r="E3" s="56"/>
      <c r="F3" s="56"/>
      <c r="G3" s="56"/>
    </row>
    <row r="4" spans="1:15" s="55" customFormat="1" ht="18" customHeight="1" x14ac:dyDescent="0.3">
      <c r="A4" s="58" t="s">
        <v>5</v>
      </c>
      <c r="B4" s="59"/>
      <c r="C4" s="78"/>
      <c r="D4" s="79"/>
    </row>
    <row r="5" spans="1:15" s="55" customFormat="1" ht="15" customHeight="1" x14ac:dyDescent="0.25">
      <c r="A5" s="63" t="s">
        <v>56</v>
      </c>
      <c r="C5" s="80"/>
      <c r="D5" s="77"/>
    </row>
    <row r="6" spans="1:15" s="55" customFormat="1" ht="8.25" customHeight="1" x14ac:dyDescent="0.25">
      <c r="A6" s="67"/>
      <c r="C6" s="80"/>
      <c r="D6" s="77"/>
    </row>
    <row r="7" spans="1:15" s="138" customFormat="1" ht="16.5" customHeight="1" x14ac:dyDescent="0.25">
      <c r="A7" s="220" t="s">
        <v>170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</row>
    <row r="8" spans="1:15" ht="6.75" customHeight="1" x14ac:dyDescent="0.2">
      <c r="M8" s="182"/>
    </row>
    <row r="9" spans="1:15" ht="14.25" x14ac:dyDescent="0.2">
      <c r="B9" s="229" t="s">
        <v>171</v>
      </c>
      <c r="C9" s="221">
        <v>4</v>
      </c>
      <c r="D9" s="222">
        <v>3</v>
      </c>
      <c r="E9" s="222">
        <v>3</v>
      </c>
      <c r="F9" s="222">
        <v>3</v>
      </c>
      <c r="G9" s="223">
        <v>5</v>
      </c>
      <c r="H9" s="223">
        <v>5</v>
      </c>
      <c r="I9" s="223">
        <v>5</v>
      </c>
      <c r="J9" s="223">
        <v>5</v>
      </c>
      <c r="K9" s="223">
        <v>5</v>
      </c>
      <c r="L9" s="224">
        <v>7</v>
      </c>
      <c r="M9" s="181"/>
      <c r="N9" s="73"/>
      <c r="O9" s="75"/>
    </row>
    <row r="10" spans="1:15" ht="14.25" x14ac:dyDescent="0.2">
      <c r="B10" s="184"/>
      <c r="C10" s="225" t="s">
        <v>155</v>
      </c>
      <c r="D10" s="226" t="s">
        <v>156</v>
      </c>
      <c r="E10" s="226" t="s">
        <v>157</v>
      </c>
      <c r="F10" s="226" t="s">
        <v>161</v>
      </c>
      <c r="G10" s="227" t="s">
        <v>173</v>
      </c>
      <c r="H10" s="227" t="s">
        <v>158</v>
      </c>
      <c r="I10" s="227" t="s">
        <v>162</v>
      </c>
      <c r="J10" s="227" t="s">
        <v>163</v>
      </c>
      <c r="K10" s="227" t="s">
        <v>159</v>
      </c>
      <c r="L10" s="228" t="s">
        <v>160</v>
      </c>
      <c r="M10" s="181"/>
      <c r="N10" s="73"/>
      <c r="O10" s="75"/>
    </row>
    <row r="11" spans="1:15" ht="25.5" customHeight="1" x14ac:dyDescent="0.2">
      <c r="B11" s="234" t="s">
        <v>172</v>
      </c>
      <c r="M11" s="181" t="s">
        <v>127</v>
      </c>
      <c r="N11" s="73" t="s">
        <v>86</v>
      </c>
      <c r="O11" s="75" t="s">
        <v>169</v>
      </c>
    </row>
    <row r="12" spans="1:15" x14ac:dyDescent="0.2">
      <c r="B12" s="235">
        <v>3111</v>
      </c>
      <c r="C12" s="236"/>
      <c r="D12" s="237"/>
      <c r="E12" s="237">
        <f>1880.17</f>
        <v>1880.17</v>
      </c>
      <c r="F12" s="237"/>
      <c r="G12" s="238">
        <v>76150.47</v>
      </c>
      <c r="H12" s="238"/>
      <c r="I12" s="238"/>
      <c r="J12" s="238"/>
      <c r="K12" s="238"/>
      <c r="L12" s="239"/>
      <c r="M12" s="163">
        <f t="shared" ref="M12:M29" si="0">SUM(C12:L12)</f>
        <v>78030.64</v>
      </c>
      <c r="N12" s="163">
        <v>78030.64</v>
      </c>
      <c r="O12">
        <f>(M12/N12)*100</f>
        <v>100</v>
      </c>
    </row>
    <row r="13" spans="1:15" x14ac:dyDescent="0.2">
      <c r="B13" s="235">
        <v>3211</v>
      </c>
      <c r="C13" s="236"/>
      <c r="D13" s="237"/>
      <c r="E13" s="237"/>
      <c r="F13" s="237"/>
      <c r="G13" s="238"/>
      <c r="H13" s="238">
        <f>11374.41</f>
        <v>11374.41</v>
      </c>
      <c r="I13" s="238">
        <v>416.12</v>
      </c>
      <c r="J13" s="238"/>
      <c r="K13" s="238"/>
      <c r="L13" s="239"/>
      <c r="M13" s="163">
        <f t="shared" si="0"/>
        <v>11790.53</v>
      </c>
      <c r="N13" s="163">
        <v>11790.53</v>
      </c>
      <c r="O13">
        <f t="shared" ref="O13:O33" si="1">(M13/N13)*100</f>
        <v>100</v>
      </c>
    </row>
    <row r="14" spans="1:15" x14ac:dyDescent="0.2">
      <c r="B14" s="235">
        <v>3213</v>
      </c>
      <c r="C14" s="236"/>
      <c r="D14" s="237"/>
      <c r="E14" s="237"/>
      <c r="F14" s="237">
        <f>100</f>
        <v>100</v>
      </c>
      <c r="G14" s="238"/>
      <c r="H14" s="238">
        <f>3161.09</f>
        <v>3161.09</v>
      </c>
      <c r="I14" s="238"/>
      <c r="J14" s="238"/>
      <c r="K14" s="238"/>
      <c r="L14" s="239"/>
      <c r="M14" s="163">
        <f t="shared" si="0"/>
        <v>3261.09</v>
      </c>
      <c r="N14" s="163">
        <v>3261.09</v>
      </c>
      <c r="O14">
        <f t="shared" si="1"/>
        <v>100</v>
      </c>
    </row>
    <row r="15" spans="1:15" x14ac:dyDescent="0.2">
      <c r="B15" s="235">
        <v>3214</v>
      </c>
      <c r="C15" s="236"/>
      <c r="D15" s="237"/>
      <c r="E15" s="237"/>
      <c r="F15" s="237"/>
      <c r="G15" s="238"/>
      <c r="H15" s="238"/>
      <c r="I15" s="238">
        <f>1143+1168.58</f>
        <v>2311.58</v>
      </c>
      <c r="J15" s="238"/>
      <c r="K15" s="238"/>
      <c r="L15" s="239"/>
      <c r="M15" s="163">
        <f t="shared" si="0"/>
        <v>2311.58</v>
      </c>
      <c r="N15" s="163">
        <v>2311.58</v>
      </c>
      <c r="O15">
        <f t="shared" si="1"/>
        <v>100</v>
      </c>
    </row>
    <row r="16" spans="1:15" x14ac:dyDescent="0.2">
      <c r="B16" s="235">
        <v>3221</v>
      </c>
      <c r="C16" s="236">
        <f>226.83+275+79.98+65.94</f>
        <v>647.75</v>
      </c>
      <c r="D16" s="237">
        <f>899+400+862.05+285+200</f>
        <v>2646.05</v>
      </c>
      <c r="E16" s="237"/>
      <c r="F16" s="237"/>
      <c r="G16" s="238"/>
      <c r="H16" s="238">
        <f>85</f>
        <v>85</v>
      </c>
      <c r="I16" s="238">
        <f>69.93+219+136+38.36+6.49</f>
        <v>469.78000000000003</v>
      </c>
      <c r="J16" s="238"/>
      <c r="K16" s="238"/>
      <c r="L16" s="239"/>
      <c r="M16" s="163">
        <f t="shared" si="0"/>
        <v>3848.5800000000004</v>
      </c>
      <c r="N16" s="163">
        <v>3848.58</v>
      </c>
      <c r="O16">
        <f t="shared" si="1"/>
        <v>100.00000000000003</v>
      </c>
    </row>
    <row r="17" spans="2:15" x14ac:dyDescent="0.2">
      <c r="B17" s="235">
        <v>3222</v>
      </c>
      <c r="C17" s="236">
        <v>6.79</v>
      </c>
      <c r="D17" s="237"/>
      <c r="E17" s="237"/>
      <c r="F17" s="237"/>
      <c r="G17" s="238"/>
      <c r="H17" s="238"/>
      <c r="I17" s="238"/>
      <c r="J17" s="238">
        <v>7.19</v>
      </c>
      <c r="K17" s="238"/>
      <c r="L17" s="239"/>
      <c r="M17" s="163">
        <f t="shared" si="0"/>
        <v>13.98</v>
      </c>
      <c r="N17" s="163">
        <v>13.98</v>
      </c>
      <c r="O17">
        <f t="shared" si="1"/>
        <v>100</v>
      </c>
    </row>
    <row r="18" spans="2:15" x14ac:dyDescent="0.2">
      <c r="B18" s="235">
        <v>3223</v>
      </c>
      <c r="C18" s="236">
        <f>397.8</f>
        <v>397.8</v>
      </c>
      <c r="D18" s="237"/>
      <c r="E18" s="237"/>
      <c r="F18" s="237"/>
      <c r="G18" s="238"/>
      <c r="H18" s="238"/>
      <c r="I18" s="238"/>
      <c r="J18" s="238"/>
      <c r="K18" s="238"/>
      <c r="L18" s="239"/>
      <c r="M18" s="163">
        <f t="shared" si="0"/>
        <v>397.8</v>
      </c>
      <c r="N18" s="163">
        <v>397.8</v>
      </c>
      <c r="O18">
        <f t="shared" si="1"/>
        <v>100</v>
      </c>
    </row>
    <row r="19" spans="2:15" x14ac:dyDescent="0.2">
      <c r="B19" s="235">
        <v>3224</v>
      </c>
      <c r="C19" s="236"/>
      <c r="D19" s="237"/>
      <c r="E19" s="237"/>
      <c r="F19" s="237"/>
      <c r="G19" s="238"/>
      <c r="H19" s="238"/>
      <c r="I19" s="238">
        <v>1386.4</v>
      </c>
      <c r="J19" s="238"/>
      <c r="K19" s="238"/>
      <c r="L19" s="239"/>
      <c r="M19" s="163">
        <f t="shared" si="0"/>
        <v>1386.4</v>
      </c>
      <c r="N19" s="163">
        <v>1386.4</v>
      </c>
      <c r="O19">
        <f t="shared" si="1"/>
        <v>100</v>
      </c>
    </row>
    <row r="20" spans="2:15" x14ac:dyDescent="0.2">
      <c r="B20" s="235">
        <v>3231</v>
      </c>
      <c r="C20" s="236"/>
      <c r="D20" s="237"/>
      <c r="E20" s="237">
        <v>437.56</v>
      </c>
      <c r="F20" s="237">
        <f>54.09+116.27</f>
        <v>170.36</v>
      </c>
      <c r="G20" s="238"/>
      <c r="H20" s="238"/>
      <c r="I20" s="238">
        <v>1.51</v>
      </c>
      <c r="J20" s="238"/>
      <c r="K20" s="238"/>
      <c r="L20" s="239"/>
      <c r="M20" s="163">
        <f t="shared" si="0"/>
        <v>609.43000000000006</v>
      </c>
      <c r="N20" s="163">
        <v>609.42999999999995</v>
      </c>
      <c r="O20">
        <f t="shared" si="1"/>
        <v>100.00000000000003</v>
      </c>
    </row>
    <row r="21" spans="2:15" x14ac:dyDescent="0.2">
      <c r="B21" s="235">
        <v>3236</v>
      </c>
      <c r="C21" s="236">
        <f>330+50</f>
        <v>380</v>
      </c>
      <c r="D21" s="237"/>
      <c r="E21" s="237"/>
      <c r="F21" s="237"/>
      <c r="G21" s="238"/>
      <c r="H21" s="238"/>
      <c r="I21" s="238"/>
      <c r="J21" s="238"/>
      <c r="K21" s="238"/>
      <c r="L21" s="239"/>
      <c r="M21" s="163">
        <f t="shared" si="0"/>
        <v>380</v>
      </c>
      <c r="N21" s="163">
        <v>380</v>
      </c>
      <c r="O21">
        <f t="shared" si="1"/>
        <v>100</v>
      </c>
    </row>
    <row r="22" spans="2:15" x14ac:dyDescent="0.2">
      <c r="B22" s="235">
        <v>3237</v>
      </c>
      <c r="C22" s="236"/>
      <c r="D22" s="237"/>
      <c r="E22" s="237"/>
      <c r="F22" s="237">
        <v>700.45</v>
      </c>
      <c r="G22" s="238"/>
      <c r="H22" s="238">
        <v>365.3</v>
      </c>
      <c r="I22" s="238"/>
      <c r="J22" s="238"/>
      <c r="K22" s="238"/>
      <c r="L22" s="239"/>
      <c r="M22" s="163">
        <f t="shared" si="0"/>
        <v>1065.75</v>
      </c>
      <c r="N22" s="163">
        <v>36617.919999999998</v>
      </c>
      <c r="O22" s="183">
        <f t="shared" si="1"/>
        <v>2.910460233677937</v>
      </c>
    </row>
    <row r="23" spans="2:15" x14ac:dyDescent="0.2">
      <c r="B23" s="235">
        <v>3238</v>
      </c>
      <c r="C23" s="236"/>
      <c r="D23" s="237"/>
      <c r="E23" s="237"/>
      <c r="F23" s="237">
        <v>23.85</v>
      </c>
      <c r="G23" s="238"/>
      <c r="H23" s="238"/>
      <c r="I23" s="238"/>
      <c r="J23" s="238"/>
      <c r="K23" s="238"/>
      <c r="L23" s="239"/>
      <c r="M23" s="163">
        <f t="shared" si="0"/>
        <v>23.85</v>
      </c>
      <c r="N23" s="163">
        <v>23.85</v>
      </c>
      <c r="O23">
        <f t="shared" si="1"/>
        <v>100</v>
      </c>
    </row>
    <row r="24" spans="2:15" x14ac:dyDescent="0.2">
      <c r="B24" s="235">
        <v>3239</v>
      </c>
      <c r="C24" s="236"/>
      <c r="D24" s="237">
        <v>893</v>
      </c>
      <c r="E24" s="237">
        <f>848.75</f>
        <v>848.75</v>
      </c>
      <c r="F24" s="237"/>
      <c r="G24" s="238"/>
      <c r="H24" s="238"/>
      <c r="I24" s="238">
        <f>51</f>
        <v>51</v>
      </c>
      <c r="J24" s="238">
        <f>30.65+19.84+35.18+20.86</f>
        <v>106.52999999999999</v>
      </c>
      <c r="K24" s="238"/>
      <c r="L24" s="239"/>
      <c r="M24" s="163">
        <f t="shared" si="0"/>
        <v>1899.28</v>
      </c>
      <c r="N24" s="163">
        <v>1899.28</v>
      </c>
      <c r="O24">
        <f t="shared" si="1"/>
        <v>100</v>
      </c>
    </row>
    <row r="25" spans="2:15" x14ac:dyDescent="0.2">
      <c r="B25" s="235">
        <v>3292</v>
      </c>
      <c r="C25" s="236"/>
      <c r="D25" s="237"/>
      <c r="E25" s="237"/>
      <c r="F25" s="237"/>
      <c r="G25" s="238"/>
      <c r="H25" s="238">
        <f>166</f>
        <v>166</v>
      </c>
      <c r="I25" s="238"/>
      <c r="J25" s="238"/>
      <c r="K25" s="238"/>
      <c r="L25" s="239"/>
      <c r="M25" s="163">
        <f t="shared" si="0"/>
        <v>166</v>
      </c>
      <c r="N25" s="163">
        <v>166</v>
      </c>
      <c r="O25">
        <f t="shared" si="1"/>
        <v>100</v>
      </c>
    </row>
    <row r="26" spans="2:15" x14ac:dyDescent="0.2">
      <c r="B26" s="235">
        <v>3293</v>
      </c>
      <c r="C26" s="236"/>
      <c r="D26" s="237">
        <f>91.92+149.03</f>
        <v>240.95</v>
      </c>
      <c r="E26" s="237"/>
      <c r="F26" s="237">
        <f>596.06+393.06</f>
        <v>989.11999999999989</v>
      </c>
      <c r="G26" s="238"/>
      <c r="H26" s="238">
        <f>75.4+390</f>
        <v>465.4</v>
      </c>
      <c r="I26" s="238">
        <f>60.97+119.39</f>
        <v>180.36</v>
      </c>
      <c r="J26" s="238"/>
      <c r="K26" s="238"/>
      <c r="L26" s="239"/>
      <c r="M26" s="163">
        <f t="shared" si="0"/>
        <v>1875.83</v>
      </c>
      <c r="N26" s="163">
        <v>1875.83</v>
      </c>
      <c r="O26">
        <f t="shared" si="1"/>
        <v>100</v>
      </c>
    </row>
    <row r="27" spans="2:15" x14ac:dyDescent="0.2">
      <c r="B27" s="235">
        <v>3299</v>
      </c>
      <c r="C27" s="236">
        <f>396.4+39.95+33.48</f>
        <v>469.83</v>
      </c>
      <c r="D27" s="237"/>
      <c r="E27" s="237">
        <v>1099</v>
      </c>
      <c r="F27" s="237">
        <v>1.93</v>
      </c>
      <c r="G27" s="238"/>
      <c r="H27" s="238"/>
      <c r="I27" s="238"/>
      <c r="J27" s="238"/>
      <c r="K27" s="238"/>
      <c r="L27" s="239"/>
      <c r="M27" s="163">
        <f t="shared" si="0"/>
        <v>1570.76</v>
      </c>
      <c r="N27" s="163">
        <v>1570.76</v>
      </c>
      <c r="O27">
        <f t="shared" si="1"/>
        <v>100</v>
      </c>
    </row>
    <row r="28" spans="2:15" x14ac:dyDescent="0.2">
      <c r="B28" s="235">
        <v>3432</v>
      </c>
      <c r="C28" s="236"/>
      <c r="D28" s="237"/>
      <c r="E28" s="237"/>
      <c r="F28" s="237">
        <f>38.19</f>
        <v>38.19</v>
      </c>
      <c r="G28" s="238"/>
      <c r="H28" s="238"/>
      <c r="I28" s="238"/>
      <c r="J28" s="238"/>
      <c r="K28" s="238"/>
      <c r="L28" s="239"/>
      <c r="M28" s="163">
        <f t="shared" si="0"/>
        <v>38.19</v>
      </c>
      <c r="N28" s="163">
        <v>38.19</v>
      </c>
      <c r="O28">
        <f t="shared" si="1"/>
        <v>100</v>
      </c>
    </row>
    <row r="29" spans="2:15" x14ac:dyDescent="0.2">
      <c r="B29" s="235">
        <v>3722</v>
      </c>
      <c r="C29" s="236"/>
      <c r="D29" s="237"/>
      <c r="E29" s="237"/>
      <c r="F29" s="237">
        <f>123.4+85.5+249.75+223.99+67.36+126.02+61.7+56</f>
        <v>993.72</v>
      </c>
      <c r="G29" s="238"/>
      <c r="H29" s="238"/>
      <c r="I29" s="238"/>
      <c r="J29" s="238"/>
      <c r="K29" s="238"/>
      <c r="L29" s="239"/>
      <c r="M29" s="163">
        <f t="shared" si="0"/>
        <v>993.72</v>
      </c>
      <c r="N29" s="163">
        <v>993.72</v>
      </c>
      <c r="O29">
        <f t="shared" si="1"/>
        <v>100</v>
      </c>
    </row>
    <row r="30" spans="2:15" x14ac:dyDescent="0.2">
      <c r="B30" s="235">
        <v>4221</v>
      </c>
      <c r="C30" s="236">
        <v>4733.6099999999997</v>
      </c>
      <c r="D30" s="237"/>
      <c r="E30" s="237">
        <f>4067.34+2873.75+4737.42+8495.96+0.45</f>
        <v>20174.920000000002</v>
      </c>
      <c r="F30" s="237">
        <v>1991.21</v>
      </c>
      <c r="G30" s="238"/>
      <c r="H30" s="238"/>
      <c r="I30" s="238"/>
      <c r="J30" s="238"/>
      <c r="K30" s="238">
        <v>1207.79</v>
      </c>
      <c r="L30" s="239">
        <v>6687.66</v>
      </c>
      <c r="M30" s="163">
        <f t="shared" ref="M30:M31" si="2">SUM(C30:L30)</f>
        <v>34795.19</v>
      </c>
      <c r="N30" s="163">
        <v>34795.19</v>
      </c>
      <c r="O30">
        <f t="shared" si="1"/>
        <v>100</v>
      </c>
    </row>
    <row r="31" spans="2:15" x14ac:dyDescent="0.2">
      <c r="B31" s="235">
        <v>4223</v>
      </c>
      <c r="C31" s="236"/>
      <c r="D31" s="237"/>
      <c r="E31" s="237">
        <v>12767.5</v>
      </c>
      <c r="F31" s="237"/>
      <c r="G31" s="238"/>
      <c r="H31" s="238"/>
      <c r="I31" s="238"/>
      <c r="J31" s="238"/>
      <c r="K31" s="238"/>
      <c r="L31" s="239"/>
      <c r="M31" s="163">
        <f t="shared" si="2"/>
        <v>12767.5</v>
      </c>
      <c r="N31" s="163">
        <v>12767.5</v>
      </c>
      <c r="O31">
        <f t="shared" si="1"/>
        <v>100</v>
      </c>
    </row>
    <row r="32" spans="2:15" x14ac:dyDescent="0.2">
      <c r="B32" s="235">
        <v>4511</v>
      </c>
      <c r="C32" s="236"/>
      <c r="D32" s="237"/>
      <c r="E32" s="237">
        <v>0.1</v>
      </c>
      <c r="F32" s="237"/>
      <c r="G32" s="238"/>
      <c r="H32" s="238"/>
      <c r="I32" s="238"/>
      <c r="J32" s="238"/>
      <c r="K32" s="238"/>
      <c r="L32" s="239"/>
      <c r="M32" s="164">
        <f>SUM(C32:L32)</f>
        <v>0.1</v>
      </c>
      <c r="N32" s="163">
        <v>0.1</v>
      </c>
      <c r="O32">
        <f t="shared" si="1"/>
        <v>100</v>
      </c>
    </row>
    <row r="33" spans="2:15" x14ac:dyDescent="0.2">
      <c r="B33" s="166"/>
      <c r="C33" s="168">
        <f t="shared" ref="C33:L33" si="3">SUM(C12:C32)</f>
        <v>6635.78</v>
      </c>
      <c r="D33" s="169">
        <f t="shared" si="3"/>
        <v>3780</v>
      </c>
      <c r="E33" s="169">
        <f t="shared" si="3"/>
        <v>37208</v>
      </c>
      <c r="F33" s="169">
        <f t="shared" si="3"/>
        <v>5008.83</v>
      </c>
      <c r="G33" s="170">
        <f t="shared" si="3"/>
        <v>76150.47</v>
      </c>
      <c r="H33" s="170">
        <f t="shared" si="3"/>
        <v>15617.199999999999</v>
      </c>
      <c r="I33" s="170">
        <f t="shared" si="3"/>
        <v>4816.75</v>
      </c>
      <c r="J33" s="170">
        <f t="shared" si="3"/>
        <v>113.71999999999998</v>
      </c>
      <c r="K33" s="170">
        <f t="shared" si="3"/>
        <v>1207.79</v>
      </c>
      <c r="L33" s="171">
        <f t="shared" si="3"/>
        <v>6687.66</v>
      </c>
      <c r="M33" s="167">
        <f>SUM(M12:M32)</f>
        <v>157226.19999999998</v>
      </c>
      <c r="N33" s="167">
        <f>SUM(N12:N32)</f>
        <v>192778.37</v>
      </c>
      <c r="O33" s="183">
        <f t="shared" si="1"/>
        <v>81.558008816030551</v>
      </c>
    </row>
    <row r="34" spans="2:15" x14ac:dyDescent="0.2">
      <c r="C34" s="233">
        <f>C33</f>
        <v>6635.78</v>
      </c>
      <c r="D34" s="161"/>
      <c r="E34" s="161"/>
      <c r="F34" s="232">
        <f>D33+E33+F33</f>
        <v>45996.83</v>
      </c>
      <c r="G34" s="161"/>
      <c r="H34" s="161"/>
      <c r="I34" s="161"/>
      <c r="J34" s="231">
        <f>G33+H33+I33+J33+K33</f>
        <v>97905.93</v>
      </c>
      <c r="K34" s="161"/>
      <c r="L34" s="230">
        <v>6687.66</v>
      </c>
      <c r="M34" s="165"/>
    </row>
    <row r="35" spans="2:15" x14ac:dyDescent="0.2">
      <c r="F35" s="161"/>
      <c r="M35" s="165"/>
    </row>
    <row r="36" spans="2:15" x14ac:dyDescent="0.2">
      <c r="F36" s="161"/>
      <c r="M36" s="165"/>
    </row>
    <row r="37" spans="2:15" x14ac:dyDescent="0.2">
      <c r="M37" s="165"/>
    </row>
    <row r="38" spans="2:15" x14ac:dyDescent="0.2">
      <c r="M38" s="165"/>
    </row>
    <row r="39" spans="2:15" x14ac:dyDescent="0.2">
      <c r="M39" s="165"/>
    </row>
    <row r="40" spans="2:15" x14ac:dyDescent="0.2">
      <c r="M40" s="165"/>
    </row>
    <row r="41" spans="2:15" x14ac:dyDescent="0.2">
      <c r="M41" s="165"/>
    </row>
    <row r="42" spans="2:15" x14ac:dyDescent="0.2">
      <c r="M42" s="165"/>
    </row>
    <row r="43" spans="2:15" x14ac:dyDescent="0.2">
      <c r="M43" s="165"/>
    </row>
    <row r="44" spans="2:15" x14ac:dyDescent="0.2">
      <c r="M44" s="165"/>
    </row>
    <row r="45" spans="2:15" x14ac:dyDescent="0.2">
      <c r="M45" s="165"/>
    </row>
    <row r="46" spans="2:15" x14ac:dyDescent="0.2">
      <c r="M46" s="165"/>
    </row>
    <row r="47" spans="2:15" x14ac:dyDescent="0.2">
      <c r="M47" s="165"/>
    </row>
    <row r="48" spans="2:15" x14ac:dyDescent="0.2">
      <c r="M48" s="165"/>
    </row>
    <row r="49" spans="13:13" x14ac:dyDescent="0.2">
      <c r="M49" s="165"/>
    </row>
    <row r="50" spans="13:13" x14ac:dyDescent="0.2">
      <c r="M50" s="165"/>
    </row>
    <row r="51" spans="13:13" x14ac:dyDescent="0.2">
      <c r="M51" s="165"/>
    </row>
    <row r="52" spans="13:13" x14ac:dyDescent="0.2">
      <c r="M52" s="165"/>
    </row>
    <row r="53" spans="13:13" x14ac:dyDescent="0.2">
      <c r="M53" s="165"/>
    </row>
    <row r="54" spans="13:13" x14ac:dyDescent="0.2">
      <c r="M54" s="165"/>
    </row>
    <row r="55" spans="13:13" x14ac:dyDescent="0.2">
      <c r="M55" s="165"/>
    </row>
    <row r="56" spans="13:13" x14ac:dyDescent="0.2">
      <c r="M56" s="165"/>
    </row>
  </sheetData>
  <mergeCells count="3">
    <mergeCell ref="A1:O1"/>
    <mergeCell ref="A2:O2"/>
    <mergeCell ref="A7:O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37" zoomScale="140" zoomScaleNormal="140" workbookViewId="0">
      <pane xSplit="1" topLeftCell="B1" activePane="topRight" state="frozen"/>
      <selection activeCell="K22" sqref="K22"/>
      <selection pane="topRight" activeCell="E43" sqref="E43"/>
    </sheetView>
  </sheetViews>
  <sheetFormatPr defaultRowHeight="14.25" x14ac:dyDescent="0.2"/>
  <cols>
    <col min="1" max="1" width="11.140625" style="4" customWidth="1"/>
    <col min="2" max="2" width="59.7109375" style="5" customWidth="1"/>
    <col min="3" max="3" width="20" style="160" customWidth="1"/>
    <col min="4" max="4" width="21.28515625" style="42" customWidth="1"/>
    <col min="5" max="5" width="19" style="41" customWidth="1"/>
    <col min="6" max="6" width="17.7109375" style="41" customWidth="1"/>
    <col min="7" max="7" width="13.42578125" style="41" customWidth="1"/>
    <col min="8" max="9" width="0" style="1" hidden="1" customWidth="1"/>
    <col min="10" max="10" width="10.42578125" style="1" customWidth="1"/>
    <col min="11" max="16384" width="9.140625" style="1"/>
  </cols>
  <sheetData>
    <row r="1" spans="1:10" s="55" customFormat="1" ht="15" x14ac:dyDescent="0.25">
      <c r="A1" s="54"/>
      <c r="B1" s="216" t="s">
        <v>65</v>
      </c>
      <c r="C1" s="216"/>
      <c r="D1" s="216"/>
      <c r="E1" s="216"/>
      <c r="F1" s="216"/>
      <c r="G1" s="216"/>
    </row>
    <row r="2" spans="1:10" s="55" customFormat="1" ht="24.75" customHeight="1" x14ac:dyDescent="0.35">
      <c r="A2" s="217" t="s">
        <v>122</v>
      </c>
      <c r="B2" s="218"/>
      <c r="C2" s="218"/>
      <c r="D2" s="218"/>
      <c r="E2" s="218"/>
      <c r="F2" s="218"/>
      <c r="G2" s="218"/>
      <c r="H2" s="56"/>
      <c r="I2" s="56"/>
      <c r="J2" s="56"/>
    </row>
    <row r="3" spans="1:10" s="55" customFormat="1" ht="20.25" customHeight="1" x14ac:dyDescent="0.25">
      <c r="A3" s="56"/>
      <c r="B3" s="219" t="s">
        <v>60</v>
      </c>
      <c r="C3" s="219"/>
      <c r="D3" s="219"/>
      <c r="E3" s="219"/>
      <c r="F3" s="219"/>
      <c r="G3" s="219"/>
      <c r="H3" s="56"/>
      <c r="I3" s="56"/>
      <c r="J3" s="56"/>
    </row>
    <row r="4" spans="1:10" s="55" customFormat="1" ht="20.25" customHeight="1" x14ac:dyDescent="0.25">
      <c r="A4" s="56"/>
      <c r="B4" s="56"/>
      <c r="C4" s="149"/>
      <c r="D4" s="57"/>
      <c r="E4" s="56"/>
      <c r="F4" s="56"/>
      <c r="G4" s="56"/>
      <c r="H4" s="56"/>
      <c r="I4" s="56"/>
      <c r="J4" s="56"/>
    </row>
    <row r="5" spans="1:10" s="55" customFormat="1" ht="18" customHeight="1" x14ac:dyDescent="0.3">
      <c r="A5" s="58" t="s">
        <v>5</v>
      </c>
      <c r="B5" s="59"/>
      <c r="C5" s="150"/>
      <c r="D5" s="61"/>
      <c r="E5" s="60"/>
      <c r="F5" s="60"/>
      <c r="G5" s="62"/>
    </row>
    <row r="6" spans="1:10" s="55" customFormat="1" ht="15" customHeight="1" x14ac:dyDescent="0.25">
      <c r="A6" s="63" t="s">
        <v>56</v>
      </c>
      <c r="C6" s="151"/>
      <c r="D6" s="65"/>
      <c r="E6" s="64"/>
      <c r="F6" s="64"/>
      <c r="G6" s="66"/>
    </row>
    <row r="7" spans="1:10" s="55" customFormat="1" ht="16.5" customHeight="1" x14ac:dyDescent="0.25">
      <c r="A7" s="67"/>
      <c r="C7" s="151"/>
      <c r="D7" s="65"/>
      <c r="E7" s="64"/>
      <c r="F7" s="64"/>
      <c r="G7" s="66"/>
    </row>
    <row r="8" spans="1:10" s="55" customFormat="1" ht="15.75" customHeight="1" x14ac:dyDescent="0.25">
      <c r="A8" s="68"/>
      <c r="B8" s="68">
        <v>1</v>
      </c>
      <c r="C8" s="152">
        <v>2</v>
      </c>
      <c r="D8" s="69">
        <v>3</v>
      </c>
      <c r="E8" s="70" t="s">
        <v>89</v>
      </c>
      <c r="F8" s="70" t="s">
        <v>59</v>
      </c>
      <c r="G8" s="70" t="s">
        <v>57</v>
      </c>
      <c r="H8" s="71"/>
      <c r="I8" s="71"/>
    </row>
    <row r="9" spans="1:10" s="77" customFormat="1" ht="43.5" x14ac:dyDescent="0.25">
      <c r="A9" s="72" t="s">
        <v>61</v>
      </c>
      <c r="B9" s="72" t="s">
        <v>58</v>
      </c>
      <c r="C9" s="153" t="s">
        <v>85</v>
      </c>
      <c r="D9" s="73" t="s">
        <v>87</v>
      </c>
      <c r="E9" s="72" t="s">
        <v>88</v>
      </c>
      <c r="F9" s="74" t="s">
        <v>120</v>
      </c>
      <c r="G9" s="75" t="s">
        <v>121</v>
      </c>
      <c r="H9" s="76" t="s">
        <v>0</v>
      </c>
      <c r="I9" s="76" t="s">
        <v>1</v>
      </c>
    </row>
    <row r="10" spans="1:10" s="8" customFormat="1" ht="35.1" customHeight="1" x14ac:dyDescent="0.25">
      <c r="A10" s="33">
        <v>63</v>
      </c>
      <c r="B10" s="34" t="s">
        <v>90</v>
      </c>
      <c r="C10" s="154">
        <f>C11+C13+C16+C18</f>
        <v>16739196.139999999</v>
      </c>
      <c r="D10" s="40">
        <f>D11+D13+D16+D18</f>
        <v>17687737.699999996</v>
      </c>
      <c r="E10" s="40">
        <f t="shared" ref="E10" si="0">E11+E13+E16+E18</f>
        <v>17660871.439999998</v>
      </c>
      <c r="F10" s="43">
        <f>E10/C10*100</f>
        <v>105.50609056905404</v>
      </c>
      <c r="G10" s="44">
        <f>E10/D10*100</f>
        <v>99.84810799178689</v>
      </c>
      <c r="H10" s="20"/>
      <c r="I10" s="20"/>
    </row>
    <row r="11" spans="1:10" s="3" customFormat="1" ht="35.1" customHeight="1" x14ac:dyDescent="0.25">
      <c r="A11" s="33">
        <v>634</v>
      </c>
      <c r="B11" s="34" t="s">
        <v>91</v>
      </c>
      <c r="C11" s="155">
        <v>98409.84</v>
      </c>
      <c r="D11" s="46">
        <f>D12</f>
        <v>117127.08</v>
      </c>
      <c r="E11" s="45">
        <f>E12</f>
        <v>117127.08</v>
      </c>
      <c r="F11" s="43">
        <f t="shared" ref="F11:F45" si="1">E11/C11*100</f>
        <v>119.01968339751392</v>
      </c>
      <c r="G11" s="44">
        <f t="shared" ref="G11:G45" si="2">E11/D11*100</f>
        <v>100</v>
      </c>
    </row>
    <row r="12" spans="1:10" ht="35.1" customHeight="1" x14ac:dyDescent="0.2">
      <c r="A12" s="37">
        <v>6341</v>
      </c>
      <c r="B12" s="36" t="s">
        <v>92</v>
      </c>
      <c r="C12" s="156">
        <v>98409.84</v>
      </c>
      <c r="D12" s="48">
        <v>117127.08</v>
      </c>
      <c r="E12" s="47">
        <v>117127.08</v>
      </c>
      <c r="F12" s="43">
        <f t="shared" si="1"/>
        <v>119.01968339751392</v>
      </c>
      <c r="G12" s="44">
        <f t="shared" si="2"/>
        <v>100</v>
      </c>
    </row>
    <row r="13" spans="1:10" s="3" customFormat="1" ht="35.1" customHeight="1" x14ac:dyDescent="0.25">
      <c r="A13" s="38">
        <v>636</v>
      </c>
      <c r="B13" s="34" t="s">
        <v>93</v>
      </c>
      <c r="C13" s="155">
        <v>15954877.26</v>
      </c>
      <c r="D13" s="46">
        <f>D14+D15</f>
        <v>16971064.439999998</v>
      </c>
      <c r="E13" s="46">
        <f>E14+E15</f>
        <v>16967609.119999997</v>
      </c>
      <c r="F13" s="43">
        <f t="shared" si="1"/>
        <v>106.34747509176388</v>
      </c>
      <c r="G13" s="44">
        <f t="shared" si="2"/>
        <v>99.979639933533832</v>
      </c>
    </row>
    <row r="14" spans="1:10" s="7" customFormat="1" ht="35.1" customHeight="1" x14ac:dyDescent="0.2">
      <c r="A14" s="35">
        <v>6361</v>
      </c>
      <c r="B14" s="36" t="s">
        <v>94</v>
      </c>
      <c r="C14" s="48">
        <v>15740156.449999999</v>
      </c>
      <c r="D14" s="48">
        <f>16503786.6+24682.54+366220.01+8885+5000+5273.21</f>
        <v>16913847.359999999</v>
      </c>
      <c r="E14" s="48">
        <v>16910392.039999999</v>
      </c>
      <c r="F14" s="43">
        <f t="shared" si="1"/>
        <v>107.43471383983606</v>
      </c>
      <c r="G14" s="44">
        <f t="shared" si="2"/>
        <v>99.979571058396971</v>
      </c>
    </row>
    <row r="15" spans="1:10" ht="35.1" customHeight="1" x14ac:dyDescent="0.2">
      <c r="A15" s="35">
        <v>6362</v>
      </c>
      <c r="B15" s="36" t="s">
        <v>95</v>
      </c>
      <c r="C15" s="156">
        <v>214720.81</v>
      </c>
      <c r="D15" s="48">
        <f>10500+46717.08</f>
        <v>57217.08</v>
      </c>
      <c r="E15" s="47">
        <v>57217.08</v>
      </c>
      <c r="F15" s="43">
        <f t="shared" si="1"/>
        <v>26.647198285066082</v>
      </c>
      <c r="G15" s="44">
        <f t="shared" si="2"/>
        <v>100</v>
      </c>
    </row>
    <row r="16" spans="1:10" s="3" customFormat="1" ht="35.1" customHeight="1" x14ac:dyDescent="0.25">
      <c r="A16" s="38">
        <v>638</v>
      </c>
      <c r="B16" s="34" t="s">
        <v>96</v>
      </c>
      <c r="C16" s="155">
        <v>217418.77</v>
      </c>
      <c r="D16" s="46">
        <f>D17</f>
        <v>21795.14</v>
      </c>
      <c r="E16" s="46">
        <f>E17</f>
        <v>21795.14</v>
      </c>
      <c r="F16" s="43">
        <f t="shared" si="1"/>
        <v>10.024497884888229</v>
      </c>
      <c r="G16" s="44">
        <f t="shared" si="2"/>
        <v>100</v>
      </c>
    </row>
    <row r="17" spans="1:7" ht="35.1" customHeight="1" x14ac:dyDescent="0.2">
      <c r="A17" s="35">
        <v>6381</v>
      </c>
      <c r="B17" s="36" t="s">
        <v>97</v>
      </c>
      <c r="C17" s="156">
        <v>217418.77</v>
      </c>
      <c r="D17" s="48">
        <v>21795.14</v>
      </c>
      <c r="E17" s="50">
        <v>21795.14</v>
      </c>
      <c r="F17" s="43">
        <f t="shared" si="1"/>
        <v>10.024497884888229</v>
      </c>
      <c r="G17" s="44">
        <f t="shared" si="2"/>
        <v>100</v>
      </c>
    </row>
    <row r="18" spans="1:7" ht="35.1" customHeight="1" x14ac:dyDescent="0.2">
      <c r="A18" s="38">
        <v>639</v>
      </c>
      <c r="B18" s="34" t="s">
        <v>98</v>
      </c>
      <c r="C18" s="155">
        <v>468490.27</v>
      </c>
      <c r="D18" s="46">
        <f>D19+D20</f>
        <v>577751.04000000004</v>
      </c>
      <c r="E18" s="46">
        <f>E19+E20</f>
        <v>554340.1</v>
      </c>
      <c r="F18" s="43">
        <f t="shared" si="1"/>
        <v>118.32478399177853</v>
      </c>
      <c r="G18" s="44">
        <f t="shared" si="2"/>
        <v>95.94791902062174</v>
      </c>
    </row>
    <row r="19" spans="1:7" s="7" customFormat="1" ht="35.1" customHeight="1" x14ac:dyDescent="0.2">
      <c r="A19" s="35">
        <v>6391</v>
      </c>
      <c r="B19" s="36" t="s">
        <v>99</v>
      </c>
      <c r="C19" s="48">
        <v>59415.49</v>
      </c>
      <c r="D19" s="48">
        <f>68889.16+10000</f>
        <v>78889.16</v>
      </c>
      <c r="E19" s="48">
        <v>74367.460000000006</v>
      </c>
      <c r="F19" s="43">
        <f t="shared" si="1"/>
        <v>125.16510425143343</v>
      </c>
      <c r="G19" s="44">
        <f t="shared" si="2"/>
        <v>94.268287303350689</v>
      </c>
    </row>
    <row r="20" spans="1:7" ht="35.1" customHeight="1" x14ac:dyDescent="0.2">
      <c r="A20" s="35">
        <v>6393</v>
      </c>
      <c r="B20" s="36" t="s">
        <v>100</v>
      </c>
      <c r="C20" s="156">
        <v>409074.78</v>
      </c>
      <c r="D20" s="48">
        <f>390371.89+44342.73+64147.26</f>
        <v>498861.88</v>
      </c>
      <c r="E20" s="50">
        <v>479972.64</v>
      </c>
      <c r="F20" s="43">
        <f t="shared" si="1"/>
        <v>117.33127131425701</v>
      </c>
      <c r="G20" s="44">
        <f t="shared" si="2"/>
        <v>96.213533092566621</v>
      </c>
    </row>
    <row r="21" spans="1:7" ht="35.1" customHeight="1" x14ac:dyDescent="0.2">
      <c r="A21" s="33">
        <v>64</v>
      </c>
      <c r="B21" s="34" t="s">
        <v>101</v>
      </c>
      <c r="C21" s="46">
        <f>C22+C23</f>
        <v>6.8</v>
      </c>
      <c r="D21" s="46">
        <f t="shared" ref="D21:E21" si="3">D22+D23</f>
        <v>10</v>
      </c>
      <c r="E21" s="46">
        <f t="shared" si="3"/>
        <v>0.39</v>
      </c>
      <c r="F21" s="43">
        <f t="shared" si="1"/>
        <v>5.7352941176470589</v>
      </c>
      <c r="G21" s="44">
        <f t="shared" si="2"/>
        <v>3.9</v>
      </c>
    </row>
    <row r="22" spans="1:7" ht="35.1" customHeight="1" x14ac:dyDescent="0.2">
      <c r="A22" s="37">
        <v>6413</v>
      </c>
      <c r="B22" s="36" t="s">
        <v>102</v>
      </c>
      <c r="C22" s="157">
        <v>6.8</v>
      </c>
      <c r="D22" s="51">
        <v>10</v>
      </c>
      <c r="E22" s="50">
        <v>0.39</v>
      </c>
      <c r="F22" s="43">
        <f t="shared" si="1"/>
        <v>5.7352941176470589</v>
      </c>
      <c r="G22" s="44">
        <f t="shared" si="2"/>
        <v>3.9</v>
      </c>
    </row>
    <row r="23" spans="1:7" ht="35.1" customHeight="1" x14ac:dyDescent="0.2">
      <c r="A23" s="37">
        <v>6415</v>
      </c>
      <c r="B23" s="36" t="s">
        <v>103</v>
      </c>
      <c r="C23" s="157"/>
      <c r="D23" s="51"/>
      <c r="E23" s="50"/>
      <c r="F23" s="43" t="e">
        <f t="shared" si="1"/>
        <v>#DIV/0!</v>
      </c>
      <c r="G23" s="44" t="e">
        <f t="shared" si="2"/>
        <v>#DIV/0!</v>
      </c>
    </row>
    <row r="24" spans="1:7" s="3" customFormat="1" ht="35.1" customHeight="1" x14ac:dyDescent="0.25">
      <c r="A24" s="33">
        <v>65</v>
      </c>
      <c r="B24" s="34" t="s">
        <v>104</v>
      </c>
      <c r="C24" s="158">
        <v>383458.27</v>
      </c>
      <c r="D24" s="52">
        <f>D25</f>
        <v>471875.51999999996</v>
      </c>
      <c r="E24" s="52">
        <f>E25</f>
        <v>471875.52</v>
      </c>
      <c r="F24" s="43">
        <f t="shared" si="1"/>
        <v>123.05785450917514</v>
      </c>
      <c r="G24" s="44">
        <f t="shared" si="2"/>
        <v>100.00000000000003</v>
      </c>
    </row>
    <row r="25" spans="1:7" s="3" customFormat="1" ht="35.1" customHeight="1" x14ac:dyDescent="0.25">
      <c r="A25" s="33">
        <v>652</v>
      </c>
      <c r="B25" s="34" t="s">
        <v>105</v>
      </c>
      <c r="C25" s="158">
        <v>383458.27</v>
      </c>
      <c r="D25" s="52">
        <f>D26</f>
        <v>471875.51999999996</v>
      </c>
      <c r="E25" s="52">
        <f>E26</f>
        <v>471875.52</v>
      </c>
      <c r="F25" s="43">
        <f t="shared" si="1"/>
        <v>123.05785450917514</v>
      </c>
      <c r="G25" s="44">
        <f t="shared" si="2"/>
        <v>100.00000000000003</v>
      </c>
    </row>
    <row r="26" spans="1:7" ht="35.1" customHeight="1" x14ac:dyDescent="0.2">
      <c r="A26" s="37">
        <v>6526</v>
      </c>
      <c r="B26" s="36" t="s">
        <v>106</v>
      </c>
      <c r="C26" s="157">
        <v>383458.27</v>
      </c>
      <c r="D26" s="51">
        <f>222855+240975+6457.72+1587.8</f>
        <v>471875.51999999996</v>
      </c>
      <c r="E26" s="50">
        <v>471875.52</v>
      </c>
      <c r="F26" s="43">
        <f t="shared" si="1"/>
        <v>123.05785450917514</v>
      </c>
      <c r="G26" s="44">
        <f t="shared" si="2"/>
        <v>100.00000000000003</v>
      </c>
    </row>
    <row r="27" spans="1:7" s="3" customFormat="1" ht="35.1" customHeight="1" x14ac:dyDescent="0.25">
      <c r="A27" s="33">
        <v>66</v>
      </c>
      <c r="B27" s="34" t="s">
        <v>107</v>
      </c>
      <c r="C27" s="158">
        <v>54458</v>
      </c>
      <c r="D27" s="52">
        <f>D28+D31</f>
        <v>43282.84</v>
      </c>
      <c r="E27" s="52">
        <f>E28+E31</f>
        <v>43252.850000000006</v>
      </c>
      <c r="F27" s="43">
        <f t="shared" si="1"/>
        <v>79.424235190421982</v>
      </c>
      <c r="G27" s="44">
        <f t="shared" si="2"/>
        <v>99.930711570682547</v>
      </c>
    </row>
    <row r="28" spans="1:7" s="3" customFormat="1" ht="35.1" customHeight="1" x14ac:dyDescent="0.25">
      <c r="A28" s="33">
        <v>661</v>
      </c>
      <c r="B28" s="34" t="s">
        <v>108</v>
      </c>
      <c r="C28" s="159">
        <f>C29+C30</f>
        <v>41558</v>
      </c>
      <c r="D28" s="52">
        <f>D29+D30</f>
        <v>28862</v>
      </c>
      <c r="E28" s="52">
        <f>E29+E30</f>
        <v>28832.010000000002</v>
      </c>
      <c r="F28" s="43">
        <f t="shared" si="1"/>
        <v>69.377761201212778</v>
      </c>
      <c r="G28" s="44">
        <f t="shared" si="2"/>
        <v>99.896091746933692</v>
      </c>
    </row>
    <row r="29" spans="1:7" ht="35.1" customHeight="1" x14ac:dyDescent="0.2">
      <c r="A29" s="35">
        <v>6614</v>
      </c>
      <c r="B29" s="34" t="s">
        <v>109</v>
      </c>
      <c r="C29" s="157">
        <v>4350</v>
      </c>
      <c r="D29" s="51">
        <v>15950</v>
      </c>
      <c r="E29" s="50">
        <v>15920.01</v>
      </c>
      <c r="F29" s="43">
        <f t="shared" si="1"/>
        <v>365.97724137931039</v>
      </c>
      <c r="G29" s="44">
        <f t="shared" si="2"/>
        <v>99.811974921630096</v>
      </c>
    </row>
    <row r="30" spans="1:7" ht="35.1" customHeight="1" x14ac:dyDescent="0.2">
      <c r="A30" s="35">
        <v>6615</v>
      </c>
      <c r="B30" s="34" t="s">
        <v>110</v>
      </c>
      <c r="C30" s="157">
        <v>37208</v>
      </c>
      <c r="D30" s="51">
        <v>12912</v>
      </c>
      <c r="E30" s="50">
        <v>12912</v>
      </c>
      <c r="F30" s="43">
        <f t="shared" si="1"/>
        <v>34.702214577510219</v>
      </c>
      <c r="G30" s="44">
        <f t="shared" si="2"/>
        <v>100</v>
      </c>
    </row>
    <row r="31" spans="1:7" s="3" customFormat="1" ht="35.1" customHeight="1" x14ac:dyDescent="0.25">
      <c r="A31" s="33">
        <v>663</v>
      </c>
      <c r="B31" s="34" t="s">
        <v>111</v>
      </c>
      <c r="C31" s="158">
        <v>12900</v>
      </c>
      <c r="D31" s="52">
        <f>D32+D33</f>
        <v>14420.84</v>
      </c>
      <c r="E31" s="52">
        <f>E32+E33</f>
        <v>14420.84</v>
      </c>
      <c r="F31" s="43">
        <f t="shared" si="1"/>
        <v>111.78945736434109</v>
      </c>
      <c r="G31" s="44">
        <f t="shared" si="2"/>
        <v>100</v>
      </c>
    </row>
    <row r="32" spans="1:7" ht="35.1" customHeight="1" x14ac:dyDescent="0.2">
      <c r="A32" s="37">
        <v>6631</v>
      </c>
      <c r="B32" s="36" t="s">
        <v>112</v>
      </c>
      <c r="C32" s="157">
        <v>150</v>
      </c>
      <c r="D32" s="51">
        <f>904.8+2000+3296+3823.04+2600</f>
        <v>12623.84</v>
      </c>
      <c r="E32" s="50">
        <v>12623.84</v>
      </c>
      <c r="F32" s="43">
        <f t="shared" si="1"/>
        <v>8415.8933333333334</v>
      </c>
      <c r="G32" s="44">
        <f t="shared" si="2"/>
        <v>100</v>
      </c>
    </row>
    <row r="33" spans="1:7" ht="35.1" customHeight="1" x14ac:dyDescent="0.2">
      <c r="A33" s="53">
        <v>6632</v>
      </c>
      <c r="B33" s="39" t="s">
        <v>113</v>
      </c>
      <c r="C33" s="157">
        <v>12750</v>
      </c>
      <c r="D33" s="51">
        <v>1797</v>
      </c>
      <c r="E33" s="50">
        <v>1797</v>
      </c>
      <c r="F33" s="43">
        <f t="shared" si="1"/>
        <v>14.094117647058823</v>
      </c>
      <c r="G33" s="44">
        <f t="shared" si="2"/>
        <v>100</v>
      </c>
    </row>
    <row r="34" spans="1:7" s="3" customFormat="1" ht="35.1" customHeight="1" x14ac:dyDescent="0.25">
      <c r="A34" s="38">
        <v>67</v>
      </c>
      <c r="B34" s="34" t="s">
        <v>64</v>
      </c>
      <c r="C34" s="159">
        <f>C35</f>
        <v>3079986.49</v>
      </c>
      <c r="D34" s="52">
        <f>D35</f>
        <v>3252340.12</v>
      </c>
      <c r="E34" s="49">
        <f>E35</f>
        <v>3253727.44</v>
      </c>
      <c r="F34" s="43">
        <f t="shared" si="1"/>
        <v>105.64096467838726</v>
      </c>
      <c r="G34" s="44">
        <f t="shared" si="2"/>
        <v>100.04265605529596</v>
      </c>
    </row>
    <row r="35" spans="1:7" s="3" customFormat="1" ht="35.1" customHeight="1" x14ac:dyDescent="0.25">
      <c r="A35" s="38">
        <v>671</v>
      </c>
      <c r="B35" s="34" t="s">
        <v>114</v>
      </c>
      <c r="C35" s="159">
        <f>C36+C37</f>
        <v>3079986.49</v>
      </c>
      <c r="D35" s="52">
        <f>D36+D37</f>
        <v>3252340.12</v>
      </c>
      <c r="E35" s="52">
        <f>E36+E37</f>
        <v>3253727.44</v>
      </c>
      <c r="F35" s="43">
        <f t="shared" si="1"/>
        <v>105.64096467838726</v>
      </c>
      <c r="G35" s="44">
        <f t="shared" si="2"/>
        <v>100.04265605529596</v>
      </c>
    </row>
    <row r="36" spans="1:7" ht="35.1" customHeight="1" x14ac:dyDescent="0.2">
      <c r="A36" s="37">
        <v>6711</v>
      </c>
      <c r="B36" s="36" t="s">
        <v>62</v>
      </c>
      <c r="C36" s="157">
        <v>2610220.37</v>
      </c>
      <c r="D36" s="51">
        <f>2220696.2+428723.15+127111.02+17604.28+88205.47</f>
        <v>2882340.12</v>
      </c>
      <c r="E36" s="50">
        <v>2883729.75</v>
      </c>
      <c r="F36" s="43">
        <f t="shared" si="1"/>
        <v>110.47840186765534</v>
      </c>
      <c r="G36" s="44">
        <f t="shared" si="2"/>
        <v>100.04821186751546</v>
      </c>
    </row>
    <row r="37" spans="1:7" ht="35.1" customHeight="1" x14ac:dyDescent="0.2">
      <c r="A37" s="35">
        <v>6712</v>
      </c>
      <c r="B37" s="36" t="s">
        <v>63</v>
      </c>
      <c r="C37" s="157">
        <v>469766.12</v>
      </c>
      <c r="D37" s="51">
        <v>370000</v>
      </c>
      <c r="E37" s="50">
        <v>369997.69</v>
      </c>
      <c r="F37" s="43">
        <f t="shared" si="1"/>
        <v>78.762106130599634</v>
      </c>
      <c r="G37" s="44">
        <f t="shared" si="2"/>
        <v>99.99937567567568</v>
      </c>
    </row>
    <row r="38" spans="1:7" s="3" customFormat="1" ht="35.1" customHeight="1" x14ac:dyDescent="0.25">
      <c r="A38" s="38">
        <v>68</v>
      </c>
      <c r="B38" s="34" t="s">
        <v>115</v>
      </c>
      <c r="C38" s="158">
        <v>9600</v>
      </c>
      <c r="D38" s="52">
        <f>D39</f>
        <v>0</v>
      </c>
      <c r="E38" s="52">
        <f>E39</f>
        <v>0</v>
      </c>
      <c r="F38" s="43">
        <f t="shared" si="1"/>
        <v>0</v>
      </c>
      <c r="G38" s="44" t="e">
        <f t="shared" si="2"/>
        <v>#DIV/0!</v>
      </c>
    </row>
    <row r="39" spans="1:7" ht="35.1" customHeight="1" x14ac:dyDescent="0.2">
      <c r="A39" s="37">
        <v>6831</v>
      </c>
      <c r="B39" s="36" t="s">
        <v>116</v>
      </c>
      <c r="C39" s="157">
        <v>9600</v>
      </c>
      <c r="D39" s="51"/>
      <c r="E39" s="50"/>
      <c r="F39" s="43">
        <f t="shared" si="1"/>
        <v>0</v>
      </c>
      <c r="G39" s="44" t="e">
        <f t="shared" si="2"/>
        <v>#DIV/0!</v>
      </c>
    </row>
    <row r="40" spans="1:7" s="3" customFormat="1" ht="35.1" customHeight="1" x14ac:dyDescent="0.25">
      <c r="A40" s="33">
        <v>7</v>
      </c>
      <c r="B40" s="34" t="s">
        <v>117</v>
      </c>
      <c r="C40" s="158">
        <v>61480</v>
      </c>
      <c r="D40" s="52">
        <f>D41</f>
        <v>0</v>
      </c>
      <c r="E40" s="52">
        <f>E41</f>
        <v>0</v>
      </c>
      <c r="F40" s="43">
        <f t="shared" si="1"/>
        <v>0</v>
      </c>
      <c r="G40" s="44" t="e">
        <f t="shared" si="2"/>
        <v>#DIV/0!</v>
      </c>
    </row>
    <row r="41" spans="1:7" s="3" customFormat="1" ht="35.1" customHeight="1" x14ac:dyDescent="0.25">
      <c r="A41" s="38">
        <v>72</v>
      </c>
      <c r="B41" s="34" t="s">
        <v>118</v>
      </c>
      <c r="C41" s="158">
        <v>61480</v>
      </c>
      <c r="D41" s="52">
        <f>D42</f>
        <v>0</v>
      </c>
      <c r="E41" s="52">
        <f>E42</f>
        <v>0</v>
      </c>
      <c r="F41" s="43">
        <f t="shared" si="1"/>
        <v>0</v>
      </c>
      <c r="G41" s="44" t="e">
        <f t="shared" si="2"/>
        <v>#DIV/0!</v>
      </c>
    </row>
    <row r="42" spans="1:7" ht="35.1" customHeight="1" x14ac:dyDescent="0.2">
      <c r="A42" s="37">
        <v>7231</v>
      </c>
      <c r="B42" s="36" t="s">
        <v>119</v>
      </c>
      <c r="C42" s="157">
        <v>61480</v>
      </c>
      <c r="D42" s="51"/>
      <c r="E42" s="50"/>
      <c r="F42" s="43">
        <f t="shared" si="1"/>
        <v>0</v>
      </c>
      <c r="G42" s="44" t="e">
        <f t="shared" si="2"/>
        <v>#DIV/0!</v>
      </c>
    </row>
    <row r="43" spans="1:7" s="176" customFormat="1" ht="35.1" customHeight="1" x14ac:dyDescent="0.2">
      <c r="A43" s="172">
        <v>922</v>
      </c>
      <c r="B43" s="173" t="s">
        <v>134</v>
      </c>
      <c r="C43" s="158">
        <v>120841.18</v>
      </c>
      <c r="D43" s="180">
        <f>45996.83+6635.78+133458.1+6687.66</f>
        <v>192778.37000000002</v>
      </c>
      <c r="E43" s="240">
        <v>161231.81</v>
      </c>
      <c r="F43" s="174">
        <f t="shared" si="1"/>
        <v>133.42455775423576</v>
      </c>
      <c r="G43" s="175">
        <f t="shared" si="2"/>
        <v>83.635840473181702</v>
      </c>
    </row>
    <row r="44" spans="1:7" s="176" customFormat="1" ht="35.1" customHeight="1" x14ac:dyDescent="0.2">
      <c r="A44" s="172"/>
      <c r="B44" s="177" t="s">
        <v>135</v>
      </c>
      <c r="C44" s="158">
        <f>C10+C21+C24+C27+C34+C38+C40</f>
        <v>20328185.700000003</v>
      </c>
      <c r="D44" s="158">
        <f>D10+D21+D24+D27+D34+D38+D40</f>
        <v>21455246.179999996</v>
      </c>
      <c r="E44" s="158">
        <f>E10+E21+E24+E27+E34+E38+E40</f>
        <v>21429727.640000001</v>
      </c>
      <c r="F44" s="174">
        <f t="shared" si="1"/>
        <v>105.41879121066864</v>
      </c>
      <c r="G44" s="175">
        <f t="shared" si="2"/>
        <v>99.88106153718347</v>
      </c>
    </row>
    <row r="45" spans="1:7" s="176" customFormat="1" ht="35.1" customHeight="1" x14ac:dyDescent="0.2">
      <c r="A45" s="178"/>
      <c r="B45" s="179" t="s">
        <v>136</v>
      </c>
      <c r="C45" s="158">
        <f>C44+C43</f>
        <v>20449026.880000003</v>
      </c>
      <c r="D45" s="158">
        <f>D44+D43</f>
        <v>21648024.549999997</v>
      </c>
      <c r="E45" s="158">
        <f>E44+E43</f>
        <v>21590959.449999999</v>
      </c>
      <c r="F45" s="174">
        <f t="shared" si="1"/>
        <v>105.58428807737963</v>
      </c>
      <c r="G45" s="175">
        <f t="shared" si="2"/>
        <v>99.736395808919212</v>
      </c>
    </row>
  </sheetData>
  <mergeCells count="3">
    <mergeCell ref="B1:G1"/>
    <mergeCell ref="A2:G2"/>
    <mergeCell ref="B3:G3"/>
  </mergeCells>
  <pageMargins left="0.19685039370078741" right="0.19685039370078741" top="0" bottom="0" header="0.7086614173228347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="150" zoomScaleNormal="150" workbookViewId="0">
      <pane xSplit="1" topLeftCell="B1" activePane="topRight" state="frozen"/>
      <selection activeCell="K22" sqref="K22"/>
      <selection pane="topRight" activeCell="D76" sqref="D76"/>
    </sheetView>
  </sheetViews>
  <sheetFormatPr defaultRowHeight="14.25" x14ac:dyDescent="0.2"/>
  <cols>
    <col min="1" max="1" width="11.140625" style="4" customWidth="1"/>
    <col min="2" max="2" width="29" style="5" customWidth="1"/>
    <col min="3" max="3" width="21.5703125" style="6" customWidth="1"/>
    <col min="4" max="4" width="18.7109375" style="2" customWidth="1"/>
    <col min="5" max="5" width="19.85546875" style="1" customWidth="1"/>
    <col min="6" max="6" width="13.140625" style="1" customWidth="1"/>
    <col min="7" max="7" width="13.42578125" style="1" customWidth="1"/>
    <col min="8" max="9" width="0" style="1" hidden="1" customWidth="1"/>
    <col min="10" max="10" width="10.42578125" style="1" customWidth="1"/>
    <col min="11" max="16384" width="9.140625" style="1"/>
  </cols>
  <sheetData>
    <row r="1" spans="1:10" s="55" customFormat="1" ht="15" x14ac:dyDescent="0.25">
      <c r="A1" s="54"/>
      <c r="B1" s="216" t="s">
        <v>65</v>
      </c>
      <c r="C1" s="216"/>
      <c r="D1" s="216"/>
      <c r="E1" s="216"/>
      <c r="F1" s="216"/>
      <c r="G1" s="216"/>
    </row>
    <row r="2" spans="1:10" s="55" customFormat="1" ht="24.75" customHeight="1" x14ac:dyDescent="0.35">
      <c r="A2" s="217" t="s">
        <v>123</v>
      </c>
      <c r="B2" s="218"/>
      <c r="C2" s="218"/>
      <c r="D2" s="218"/>
      <c r="E2" s="218"/>
      <c r="F2" s="218"/>
      <c r="G2" s="218"/>
      <c r="H2" s="56"/>
      <c r="I2" s="56"/>
      <c r="J2" s="56"/>
    </row>
    <row r="3" spans="1:10" s="55" customFormat="1" ht="20.25" customHeight="1" x14ac:dyDescent="0.25">
      <c r="A3" s="56"/>
      <c r="B3" s="219" t="s">
        <v>60</v>
      </c>
      <c r="C3" s="219"/>
      <c r="D3" s="219"/>
      <c r="E3" s="219"/>
      <c r="F3" s="219"/>
      <c r="G3" s="219"/>
      <c r="H3" s="56"/>
      <c r="I3" s="56"/>
      <c r="J3" s="56"/>
    </row>
    <row r="4" spans="1:10" s="55" customFormat="1" ht="20.25" customHeight="1" x14ac:dyDescent="0.25">
      <c r="A4" s="56"/>
      <c r="B4" s="56"/>
      <c r="C4" s="56"/>
      <c r="D4" s="57"/>
      <c r="E4" s="56"/>
      <c r="F4" s="56"/>
      <c r="G4" s="56"/>
      <c r="H4" s="56"/>
      <c r="I4" s="56"/>
      <c r="J4" s="56"/>
    </row>
    <row r="5" spans="1:10" s="55" customFormat="1" ht="18" customHeight="1" x14ac:dyDescent="0.3">
      <c r="A5" s="58" t="s">
        <v>5</v>
      </c>
      <c r="B5" s="59"/>
      <c r="C5" s="59"/>
      <c r="D5" s="78"/>
      <c r="E5" s="59"/>
      <c r="F5" s="59"/>
      <c r="G5" s="79"/>
    </row>
    <row r="6" spans="1:10" s="55" customFormat="1" ht="15" customHeight="1" x14ac:dyDescent="0.25">
      <c r="A6" s="63" t="s">
        <v>56</v>
      </c>
      <c r="D6" s="80"/>
      <c r="G6" s="77"/>
    </row>
    <row r="7" spans="1:10" s="55" customFormat="1" ht="16.5" customHeight="1" x14ac:dyDescent="0.25">
      <c r="A7" s="67"/>
      <c r="D7" s="80"/>
      <c r="G7" s="77"/>
    </row>
    <row r="8" spans="1:10" s="55" customFormat="1" ht="8.25" customHeight="1" x14ac:dyDescent="0.25">
      <c r="A8" s="71"/>
      <c r="B8" s="71"/>
      <c r="C8" s="71"/>
      <c r="D8" s="81"/>
      <c r="E8" s="71"/>
      <c r="F8" s="71"/>
      <c r="G8" s="82"/>
    </row>
    <row r="9" spans="1:10" s="55" customFormat="1" ht="15.75" customHeight="1" x14ac:dyDescent="0.25">
      <c r="A9" s="71"/>
      <c r="B9" s="71">
        <v>1</v>
      </c>
      <c r="C9" s="71">
        <v>2</v>
      </c>
      <c r="D9" s="83">
        <v>3</v>
      </c>
      <c r="E9" s="84" t="s">
        <v>89</v>
      </c>
      <c r="F9" s="84" t="s">
        <v>59</v>
      </c>
      <c r="G9" s="84" t="s">
        <v>57</v>
      </c>
      <c r="H9" s="71"/>
      <c r="I9" s="71"/>
    </row>
    <row r="10" spans="1:10" s="77" customFormat="1" ht="43.5" x14ac:dyDescent="0.25">
      <c r="A10" s="72" t="s">
        <v>4</v>
      </c>
      <c r="B10" s="72" t="s">
        <v>58</v>
      </c>
      <c r="C10" s="72" t="s">
        <v>85</v>
      </c>
      <c r="D10" s="73" t="s">
        <v>86</v>
      </c>
      <c r="E10" s="72" t="s">
        <v>88</v>
      </c>
      <c r="F10" s="74" t="s">
        <v>120</v>
      </c>
      <c r="G10" s="75" t="s">
        <v>121</v>
      </c>
      <c r="H10" s="76" t="s">
        <v>0</v>
      </c>
      <c r="I10" s="76" t="s">
        <v>1</v>
      </c>
    </row>
    <row r="11" spans="1:10" s="55" customFormat="1" ht="14.25" customHeight="1" x14ac:dyDescent="0.25">
      <c r="A11" s="85">
        <v>3</v>
      </c>
      <c r="B11" s="85" t="s">
        <v>16</v>
      </c>
      <c r="C11" s="85"/>
      <c r="D11" s="86"/>
      <c r="E11" s="87"/>
      <c r="F11" s="87"/>
      <c r="G11" s="87"/>
      <c r="H11" s="88">
        <f>SUM(H12:H18)</f>
        <v>0</v>
      </c>
      <c r="I11" s="88">
        <f>SUM(I12:I18)</f>
        <v>0</v>
      </c>
    </row>
    <row r="12" spans="1:10" s="55" customFormat="1" ht="14.25" customHeight="1" x14ac:dyDescent="0.25">
      <c r="A12" s="89">
        <v>31</v>
      </c>
      <c r="B12" s="89" t="s">
        <v>6</v>
      </c>
      <c r="C12" s="90">
        <f>SUM(C14:C17)</f>
        <v>16571150.510000002</v>
      </c>
      <c r="D12" s="91">
        <f>SUM(D14:D16)</f>
        <v>17827082.530000001</v>
      </c>
      <c r="E12" s="91">
        <f>SUM(E14:E16)</f>
        <v>17733155.809999999</v>
      </c>
      <c r="F12" s="91">
        <f>E12/C12*100</f>
        <v>107.01221861028161</v>
      </c>
      <c r="G12" s="87">
        <f>E12/D12*100</f>
        <v>99.473123435413839</v>
      </c>
      <c r="H12" s="55">
        <v>0</v>
      </c>
      <c r="I12" s="55">
        <v>0</v>
      </c>
    </row>
    <row r="13" spans="1:10" s="55" customFormat="1" ht="14.25" customHeight="1" x14ac:dyDescent="0.25">
      <c r="A13" s="92">
        <v>311</v>
      </c>
      <c r="B13" s="93" t="s">
        <v>7</v>
      </c>
      <c r="C13" s="94"/>
      <c r="D13" s="95"/>
      <c r="E13" s="96"/>
      <c r="F13" s="91"/>
      <c r="G13" s="87"/>
      <c r="H13" s="55">
        <v>0</v>
      </c>
      <c r="I13" s="55">
        <v>0</v>
      </c>
    </row>
    <row r="14" spans="1:10" s="55" customFormat="1" ht="14.25" customHeight="1" x14ac:dyDescent="0.25">
      <c r="A14" s="92">
        <v>3111</v>
      </c>
      <c r="B14" s="97" t="s">
        <v>17</v>
      </c>
      <c r="C14" s="94">
        <v>13734681.16</v>
      </c>
      <c r="D14" s="95">
        <v>14687065.029999999</v>
      </c>
      <c r="E14" s="96">
        <v>14596755.029999999</v>
      </c>
      <c r="F14" s="91">
        <f t="shared" ref="F14:F76" si="0">E14/C14*100</f>
        <v>106.27662091283668</v>
      </c>
      <c r="G14" s="87">
        <f t="shared" ref="G14:G76" si="1">E14/D14*100</f>
        <v>99.385105194158726</v>
      </c>
      <c r="H14" s="55">
        <v>0</v>
      </c>
      <c r="I14" s="55">
        <v>0</v>
      </c>
    </row>
    <row r="15" spans="1:10" s="55" customFormat="1" ht="14.25" customHeight="1" x14ac:dyDescent="0.25">
      <c r="A15" s="92">
        <v>3121</v>
      </c>
      <c r="B15" s="93" t="s">
        <v>8</v>
      </c>
      <c r="C15" s="94">
        <v>592011.98</v>
      </c>
      <c r="D15" s="95">
        <v>750839.9</v>
      </c>
      <c r="E15" s="96">
        <v>749925.6</v>
      </c>
      <c r="F15" s="91">
        <f t="shared" si="0"/>
        <v>126.67405818375499</v>
      </c>
      <c r="G15" s="87">
        <f t="shared" si="1"/>
        <v>99.878229699833483</v>
      </c>
    </row>
    <row r="16" spans="1:10" s="55" customFormat="1" ht="14.25" customHeight="1" x14ac:dyDescent="0.25">
      <c r="A16" s="92">
        <v>3132</v>
      </c>
      <c r="B16" s="93" t="s">
        <v>18</v>
      </c>
      <c r="C16" s="94">
        <v>2244457.37</v>
      </c>
      <c r="D16" s="95">
        <v>2389177.6</v>
      </c>
      <c r="E16" s="98">
        <v>2386475.1800000002</v>
      </c>
      <c r="F16" s="91">
        <f t="shared" si="0"/>
        <v>106.32748974866919</v>
      </c>
      <c r="G16" s="87">
        <f t="shared" si="1"/>
        <v>99.886889111968912</v>
      </c>
    </row>
    <row r="17" spans="1:9" s="55" customFormat="1" ht="14.25" customHeight="1" x14ac:dyDescent="0.25">
      <c r="A17" s="92"/>
      <c r="B17" s="93"/>
      <c r="C17" s="94"/>
      <c r="D17" s="95"/>
      <c r="E17" s="98"/>
      <c r="F17" s="91"/>
      <c r="G17" s="87"/>
      <c r="H17" s="55">
        <v>0</v>
      </c>
      <c r="I17" s="55">
        <v>0</v>
      </c>
    </row>
    <row r="18" spans="1:9" s="55" customFormat="1" ht="14.25" customHeight="1" x14ac:dyDescent="0.25">
      <c r="A18" s="92"/>
      <c r="B18" s="99"/>
      <c r="C18" s="100"/>
      <c r="D18" s="95"/>
      <c r="E18" s="101"/>
      <c r="F18" s="91"/>
      <c r="G18" s="87"/>
      <c r="H18" s="55">
        <v>0</v>
      </c>
      <c r="I18" s="55">
        <v>0</v>
      </c>
    </row>
    <row r="19" spans="1:9" s="55" customFormat="1" ht="20.100000000000001" customHeight="1" x14ac:dyDescent="0.25">
      <c r="A19" s="102">
        <v>32</v>
      </c>
      <c r="B19" s="103" t="s">
        <v>9</v>
      </c>
      <c r="C19" s="104">
        <f t="shared" ref="C19" si="2">SUM(C20+C25+C32+C44)</f>
        <v>2143465.96</v>
      </c>
      <c r="D19" s="105">
        <f>SUM(D20+D25+D32+D44)</f>
        <v>2499292.0499999998</v>
      </c>
      <c r="E19" s="105">
        <f>SUM(E20+E25+E32+E44)</f>
        <v>2361514.4299999997</v>
      </c>
      <c r="F19" s="91">
        <f t="shared" si="0"/>
        <v>110.17270505196173</v>
      </c>
      <c r="G19" s="87">
        <f t="shared" si="1"/>
        <v>94.487334123277023</v>
      </c>
    </row>
    <row r="20" spans="1:9" s="110" customFormat="1" ht="20.100000000000001" customHeight="1" x14ac:dyDescent="0.25">
      <c r="A20" s="106">
        <v>321</v>
      </c>
      <c r="B20" s="107"/>
      <c r="C20" s="108">
        <f t="shared" ref="C20" si="3">C21+C22+C23+C24</f>
        <v>390873.29000000004</v>
      </c>
      <c r="D20" s="109">
        <f>D21+D22+D23+D24</f>
        <v>421436.53</v>
      </c>
      <c r="E20" s="109">
        <f>E21+E22+E23+E24</f>
        <v>412343.02</v>
      </c>
      <c r="F20" s="91">
        <f t="shared" si="0"/>
        <v>105.49275955898649</v>
      </c>
      <c r="G20" s="87">
        <f t="shared" si="1"/>
        <v>97.842258714497291</v>
      </c>
    </row>
    <row r="21" spans="1:9" s="55" customFormat="1" ht="14.25" customHeight="1" x14ac:dyDescent="0.25">
      <c r="A21" s="92">
        <v>3211</v>
      </c>
      <c r="B21" s="93" t="s">
        <v>19</v>
      </c>
      <c r="C21" s="94">
        <v>80178.7</v>
      </c>
      <c r="D21" s="95">
        <v>48011.46</v>
      </c>
      <c r="E21" s="98">
        <v>49976.46</v>
      </c>
      <c r="F21" s="91">
        <f t="shared" si="0"/>
        <v>62.331342363994423</v>
      </c>
      <c r="G21" s="87">
        <f t="shared" si="1"/>
        <v>104.09277285048195</v>
      </c>
    </row>
    <row r="22" spans="1:9" s="55" customFormat="1" ht="14.25" customHeight="1" x14ac:dyDescent="0.25">
      <c r="A22" s="92">
        <v>3212</v>
      </c>
      <c r="B22" s="93" t="s">
        <v>20</v>
      </c>
      <c r="C22" s="94">
        <v>271904.19</v>
      </c>
      <c r="D22" s="95">
        <v>352270</v>
      </c>
      <c r="E22" s="98">
        <v>344364.47</v>
      </c>
      <c r="F22" s="91">
        <f t="shared" si="0"/>
        <v>126.64919580680238</v>
      </c>
      <c r="G22" s="87">
        <f t="shared" si="1"/>
        <v>97.755832174184562</v>
      </c>
    </row>
    <row r="23" spans="1:9" s="55" customFormat="1" ht="14.25" customHeight="1" x14ac:dyDescent="0.25">
      <c r="A23" s="92">
        <v>3213</v>
      </c>
      <c r="B23" s="93" t="s">
        <v>21</v>
      </c>
      <c r="C23" s="94">
        <v>30008.400000000001</v>
      </c>
      <c r="D23" s="95">
        <v>8261.09</v>
      </c>
      <c r="E23" s="98">
        <v>7191.09</v>
      </c>
      <c r="F23" s="91">
        <f t="shared" si="0"/>
        <v>23.963590194745471</v>
      </c>
      <c r="G23" s="87">
        <f t="shared" si="1"/>
        <v>87.047714042577923</v>
      </c>
    </row>
    <row r="24" spans="1:9" s="55" customFormat="1" ht="14.25" customHeight="1" x14ac:dyDescent="0.25">
      <c r="A24" s="92">
        <v>3214</v>
      </c>
      <c r="B24" s="93" t="s">
        <v>22</v>
      </c>
      <c r="C24" s="94">
        <v>8782</v>
      </c>
      <c r="D24" s="95">
        <v>12893.98</v>
      </c>
      <c r="E24" s="98">
        <v>10811</v>
      </c>
      <c r="F24" s="91">
        <f t="shared" si="0"/>
        <v>123.10407652015488</v>
      </c>
      <c r="G24" s="87">
        <f t="shared" si="1"/>
        <v>83.845329370760624</v>
      </c>
    </row>
    <row r="25" spans="1:9" s="110" customFormat="1" ht="14.25" customHeight="1" x14ac:dyDescent="0.25">
      <c r="A25" s="106">
        <v>322</v>
      </c>
      <c r="B25" s="111"/>
      <c r="C25" s="108">
        <f t="shared" ref="C25" si="4">C26+C27+C28+C29+C30+C31</f>
        <v>600941.80000000016</v>
      </c>
      <c r="D25" s="109">
        <f>D26+D27+D28+D29+D30+D31</f>
        <v>1127373.74</v>
      </c>
      <c r="E25" s="109">
        <f>E26+E27+E28+E29+E30+E31</f>
        <v>1089323.22</v>
      </c>
      <c r="F25" s="91">
        <f t="shared" si="0"/>
        <v>181.26933756313835</v>
      </c>
      <c r="G25" s="87">
        <f t="shared" si="1"/>
        <v>96.624853085543748</v>
      </c>
    </row>
    <row r="26" spans="1:9" s="55" customFormat="1" ht="14.25" customHeight="1" x14ac:dyDescent="0.25">
      <c r="A26" s="92">
        <v>3221</v>
      </c>
      <c r="B26" s="93" t="s">
        <v>23</v>
      </c>
      <c r="C26" s="94">
        <v>215571.95</v>
      </c>
      <c r="D26" s="95">
        <v>246045.15</v>
      </c>
      <c r="E26" s="98">
        <v>227784.08</v>
      </c>
      <c r="F26" s="91">
        <f t="shared" si="0"/>
        <v>105.66499027354904</v>
      </c>
      <c r="G26" s="87">
        <f t="shared" si="1"/>
        <v>92.578162991629782</v>
      </c>
    </row>
    <row r="27" spans="1:9" s="55" customFormat="1" ht="14.25" customHeight="1" x14ac:dyDescent="0.25">
      <c r="A27" s="92">
        <v>3222</v>
      </c>
      <c r="B27" s="93" t="s">
        <v>24</v>
      </c>
      <c r="C27" s="94">
        <v>65181.01</v>
      </c>
      <c r="D27" s="95">
        <v>270196.61</v>
      </c>
      <c r="E27" s="98">
        <v>256981.24</v>
      </c>
      <c r="F27" s="91">
        <f t="shared" si="0"/>
        <v>394.2578367533734</v>
      </c>
      <c r="G27" s="87">
        <f t="shared" si="1"/>
        <v>95.108980086759786</v>
      </c>
    </row>
    <row r="28" spans="1:9" s="55" customFormat="1" ht="14.25" customHeight="1" x14ac:dyDescent="0.25">
      <c r="A28" s="92">
        <v>3223</v>
      </c>
      <c r="B28" s="93" t="s">
        <v>25</v>
      </c>
      <c r="C28" s="94">
        <v>300350.65000000002</v>
      </c>
      <c r="D28" s="95">
        <v>574252.80000000005</v>
      </c>
      <c r="E28" s="98">
        <v>570364.15</v>
      </c>
      <c r="F28" s="91">
        <f t="shared" si="0"/>
        <v>189.89942255826645</v>
      </c>
      <c r="G28" s="87">
        <f t="shared" si="1"/>
        <v>99.322833079786449</v>
      </c>
      <c r="H28" s="55">
        <v>0</v>
      </c>
      <c r="I28" s="55">
        <v>0</v>
      </c>
    </row>
    <row r="29" spans="1:9" s="55" customFormat="1" ht="14.25" customHeight="1" x14ac:dyDescent="0.25">
      <c r="A29" s="92">
        <v>3224</v>
      </c>
      <c r="B29" s="93" t="s">
        <v>26</v>
      </c>
      <c r="C29" s="94">
        <v>5000</v>
      </c>
      <c r="D29" s="95">
        <v>8291.2000000000007</v>
      </c>
      <c r="E29" s="98">
        <v>8291.2000000000007</v>
      </c>
      <c r="F29" s="91">
        <f t="shared" si="0"/>
        <v>165.82400000000001</v>
      </c>
      <c r="G29" s="87">
        <f t="shared" si="1"/>
        <v>100</v>
      </c>
      <c r="H29" s="55">
        <v>0</v>
      </c>
      <c r="I29" s="55">
        <v>0</v>
      </c>
    </row>
    <row r="30" spans="1:9" s="55" customFormat="1" ht="14.25" customHeight="1" x14ac:dyDescent="0.25">
      <c r="A30" s="92">
        <v>3225</v>
      </c>
      <c r="B30" s="93" t="s">
        <v>27</v>
      </c>
      <c r="C30" s="94">
        <v>10828.13</v>
      </c>
      <c r="D30" s="95">
        <v>19587.98</v>
      </c>
      <c r="E30" s="98">
        <v>18348.59</v>
      </c>
      <c r="F30" s="91">
        <f t="shared" si="0"/>
        <v>169.45298957437714</v>
      </c>
      <c r="G30" s="87">
        <f t="shared" si="1"/>
        <v>93.67270131989109</v>
      </c>
    </row>
    <row r="31" spans="1:9" s="55" customFormat="1" ht="14.25" customHeight="1" x14ac:dyDescent="0.25">
      <c r="A31" s="92">
        <v>3227</v>
      </c>
      <c r="B31" s="93" t="s">
        <v>28</v>
      </c>
      <c r="C31" s="94">
        <v>4010.06</v>
      </c>
      <c r="D31" s="95">
        <v>9000</v>
      </c>
      <c r="E31" s="98">
        <v>7553.96</v>
      </c>
      <c r="F31" s="91">
        <f t="shared" si="0"/>
        <v>188.37523628075391</v>
      </c>
      <c r="G31" s="87">
        <f t="shared" si="1"/>
        <v>83.932888888888897</v>
      </c>
    </row>
    <row r="32" spans="1:9" s="110" customFormat="1" ht="14.25" customHeight="1" x14ac:dyDescent="0.25">
      <c r="A32" s="106">
        <v>323</v>
      </c>
      <c r="B32" s="111"/>
      <c r="C32" s="108">
        <f t="shared" ref="C32" si="5">C33+C34+C35+C36+C37+C38+C39+C40+C41</f>
        <v>1061638.99</v>
      </c>
      <c r="D32" s="109">
        <f>D33+D34+D35+D36+D37+D38+D39+D40+D41</f>
        <v>849021.96</v>
      </c>
      <c r="E32" s="109">
        <f>E33+E34+E35+E36+E37+E38+E39+E40+E41</f>
        <v>760975.87</v>
      </c>
      <c r="F32" s="91">
        <f t="shared" si="0"/>
        <v>71.679344595284689</v>
      </c>
      <c r="G32" s="87">
        <f t="shared" si="1"/>
        <v>89.629704042048573</v>
      </c>
    </row>
    <row r="33" spans="1:9" s="55" customFormat="1" ht="14.25" customHeight="1" x14ac:dyDescent="0.25">
      <c r="A33" s="92">
        <v>3231</v>
      </c>
      <c r="B33" s="93" t="s">
        <v>29</v>
      </c>
      <c r="C33" s="94">
        <v>106967.59</v>
      </c>
      <c r="D33" s="95">
        <v>40847.230000000003</v>
      </c>
      <c r="E33" s="98">
        <v>40847.230000000003</v>
      </c>
      <c r="F33" s="91">
        <f t="shared" si="0"/>
        <v>38.186547906707077</v>
      </c>
      <c r="G33" s="87">
        <f t="shared" si="1"/>
        <v>100</v>
      </c>
    </row>
    <row r="34" spans="1:9" s="55" customFormat="1" ht="14.25" customHeight="1" x14ac:dyDescent="0.25">
      <c r="A34" s="92">
        <v>3232</v>
      </c>
      <c r="B34" s="93" t="s">
        <v>30</v>
      </c>
      <c r="C34" s="94">
        <v>78717.64</v>
      </c>
      <c r="D34" s="95">
        <v>28968.75</v>
      </c>
      <c r="E34" s="98">
        <v>28968.75</v>
      </c>
      <c r="F34" s="91">
        <f t="shared" si="0"/>
        <v>36.800836508818101</v>
      </c>
      <c r="G34" s="87">
        <f t="shared" si="1"/>
        <v>100</v>
      </c>
    </row>
    <row r="35" spans="1:9" s="55" customFormat="1" ht="14.25" customHeight="1" x14ac:dyDescent="0.25">
      <c r="A35" s="92">
        <v>3233</v>
      </c>
      <c r="B35" s="93" t="s">
        <v>31</v>
      </c>
      <c r="C35" s="94">
        <v>2992.38</v>
      </c>
      <c r="D35" s="95">
        <v>1875</v>
      </c>
      <c r="E35" s="98">
        <v>1875</v>
      </c>
      <c r="F35" s="91">
        <f t="shared" si="0"/>
        <v>62.659154251799563</v>
      </c>
      <c r="G35" s="87">
        <f t="shared" si="1"/>
        <v>100</v>
      </c>
    </row>
    <row r="36" spans="1:9" s="55" customFormat="1" ht="14.25" customHeight="1" x14ac:dyDescent="0.25">
      <c r="A36" s="92">
        <v>3234</v>
      </c>
      <c r="B36" s="93" t="s">
        <v>32</v>
      </c>
      <c r="C36" s="94">
        <v>105013.56</v>
      </c>
      <c r="D36" s="95">
        <v>125000</v>
      </c>
      <c r="E36" s="98">
        <v>123345.04</v>
      </c>
      <c r="F36" s="91">
        <f t="shared" si="0"/>
        <v>117.45629802475032</v>
      </c>
      <c r="G36" s="87">
        <f t="shared" si="1"/>
        <v>98.676031999999992</v>
      </c>
    </row>
    <row r="37" spans="1:9" s="55" customFormat="1" ht="14.25" customHeight="1" x14ac:dyDescent="0.25">
      <c r="A37" s="92">
        <v>3235</v>
      </c>
      <c r="B37" s="93" t="s">
        <v>33</v>
      </c>
      <c r="C37" s="94"/>
      <c r="D37" s="95"/>
      <c r="E37" s="98"/>
      <c r="F37" s="91" t="e">
        <f t="shared" si="0"/>
        <v>#DIV/0!</v>
      </c>
      <c r="G37" s="87" t="e">
        <f t="shared" si="1"/>
        <v>#DIV/0!</v>
      </c>
    </row>
    <row r="38" spans="1:9" s="55" customFormat="1" ht="14.25" customHeight="1" x14ac:dyDescent="0.25">
      <c r="A38" s="92">
        <v>3236</v>
      </c>
      <c r="B38" s="93" t="s">
        <v>34</v>
      </c>
      <c r="C38" s="94">
        <v>27885</v>
      </c>
      <c r="D38" s="95">
        <v>53360</v>
      </c>
      <c r="E38" s="98">
        <v>44360</v>
      </c>
      <c r="F38" s="91">
        <f t="shared" si="0"/>
        <v>159.08194369732831</v>
      </c>
      <c r="G38" s="87">
        <f t="shared" si="1"/>
        <v>83.133433283358315</v>
      </c>
      <c r="H38" s="55">
        <v>0</v>
      </c>
      <c r="I38" s="55">
        <v>0</v>
      </c>
    </row>
    <row r="39" spans="1:9" s="55" customFormat="1" ht="14.25" customHeight="1" x14ac:dyDescent="0.25">
      <c r="A39" s="92">
        <v>3237</v>
      </c>
      <c r="B39" s="93" t="s">
        <v>35</v>
      </c>
      <c r="C39" s="94">
        <v>41847.96</v>
      </c>
      <c r="D39" s="95">
        <v>78129.81</v>
      </c>
      <c r="E39" s="98">
        <v>42534.45</v>
      </c>
      <c r="F39" s="91">
        <f t="shared" si="0"/>
        <v>101.6404383869608</v>
      </c>
      <c r="G39" s="87">
        <f t="shared" si="1"/>
        <v>54.440744192261569</v>
      </c>
      <c r="H39" s="55">
        <v>0</v>
      </c>
      <c r="I39" s="55">
        <v>0</v>
      </c>
    </row>
    <row r="40" spans="1:9" s="55" customFormat="1" ht="14.25" customHeight="1" x14ac:dyDescent="0.25">
      <c r="A40" s="92">
        <v>3238</v>
      </c>
      <c r="B40" s="93" t="s">
        <v>36</v>
      </c>
      <c r="C40" s="94">
        <v>38000</v>
      </c>
      <c r="D40" s="95">
        <v>36123.85</v>
      </c>
      <c r="E40" s="98">
        <v>36036.35</v>
      </c>
      <c r="F40" s="91">
        <f t="shared" si="0"/>
        <v>94.832499999999996</v>
      </c>
      <c r="G40" s="87">
        <f t="shared" si="1"/>
        <v>99.757777756246909</v>
      </c>
    </row>
    <row r="41" spans="1:9" s="55" customFormat="1" ht="14.25" customHeight="1" x14ac:dyDescent="0.25">
      <c r="A41" s="92">
        <v>3239</v>
      </c>
      <c r="B41" s="93" t="s">
        <v>37</v>
      </c>
      <c r="C41" s="94">
        <v>660214.86</v>
      </c>
      <c r="D41" s="95">
        <v>484717.32</v>
      </c>
      <c r="E41" s="98">
        <v>443009.05</v>
      </c>
      <c r="F41" s="91">
        <f t="shared" si="0"/>
        <v>67.100738992757599</v>
      </c>
      <c r="G41" s="87">
        <f t="shared" si="1"/>
        <v>91.395341515751895</v>
      </c>
    </row>
    <row r="42" spans="1:9" s="55" customFormat="1" ht="14.25" customHeight="1" x14ac:dyDescent="0.25">
      <c r="A42" s="92"/>
      <c r="B42" s="93"/>
      <c r="C42" s="94"/>
      <c r="D42" s="95"/>
      <c r="E42" s="98"/>
      <c r="F42" s="91" t="e">
        <f t="shared" si="0"/>
        <v>#DIV/0!</v>
      </c>
      <c r="G42" s="87" t="e">
        <f t="shared" si="1"/>
        <v>#DIV/0!</v>
      </c>
    </row>
    <row r="43" spans="1:9" s="55" customFormat="1" ht="14.25" customHeight="1" x14ac:dyDescent="0.25">
      <c r="A43" s="92">
        <v>3241</v>
      </c>
      <c r="B43" s="93" t="s">
        <v>10</v>
      </c>
      <c r="C43" s="94"/>
      <c r="D43" s="95"/>
      <c r="E43" s="101"/>
      <c r="F43" s="91" t="e">
        <f t="shared" si="0"/>
        <v>#DIV/0!</v>
      </c>
      <c r="G43" s="87" t="e">
        <f t="shared" si="1"/>
        <v>#DIV/0!</v>
      </c>
    </row>
    <row r="44" spans="1:9" s="110" customFormat="1" ht="14.25" customHeight="1" x14ac:dyDescent="0.25">
      <c r="A44" s="106">
        <v>329</v>
      </c>
      <c r="B44" s="111"/>
      <c r="C44" s="108">
        <f t="shared" ref="C44" si="6">C45+C46+C47+C48+C49+C50</f>
        <v>90011.87999999999</v>
      </c>
      <c r="D44" s="109">
        <f>D45+D46+D47+D48+D49+D50</f>
        <v>101459.81999999999</v>
      </c>
      <c r="E44" s="109">
        <f>E45+E46+E47+E48+E49+E50</f>
        <v>98872.319999999992</v>
      </c>
      <c r="F44" s="91">
        <f t="shared" si="0"/>
        <v>109.84363397364882</v>
      </c>
      <c r="G44" s="87">
        <f t="shared" si="1"/>
        <v>97.449729360844515</v>
      </c>
    </row>
    <row r="45" spans="1:9" s="55" customFormat="1" ht="14.25" customHeight="1" x14ac:dyDescent="0.25">
      <c r="A45" s="92">
        <v>3291</v>
      </c>
      <c r="B45" s="93" t="s">
        <v>38</v>
      </c>
      <c r="C45" s="94">
        <v>4346.0200000000004</v>
      </c>
      <c r="D45" s="95">
        <v>7966.68</v>
      </c>
      <c r="E45" s="112">
        <v>7966.68</v>
      </c>
      <c r="F45" s="91">
        <f t="shared" si="0"/>
        <v>183.30978688547222</v>
      </c>
      <c r="G45" s="87">
        <f t="shared" si="1"/>
        <v>100</v>
      </c>
    </row>
    <row r="46" spans="1:9" s="55" customFormat="1" ht="14.25" customHeight="1" x14ac:dyDescent="0.25">
      <c r="A46" s="92">
        <v>3292</v>
      </c>
      <c r="B46" s="93" t="s">
        <v>39</v>
      </c>
      <c r="C46" s="94">
        <v>26101.66</v>
      </c>
      <c r="D46" s="95">
        <v>24940</v>
      </c>
      <c r="E46" s="113">
        <v>24939.66</v>
      </c>
      <c r="F46" s="91">
        <f t="shared" si="0"/>
        <v>95.548175863144337</v>
      </c>
      <c r="G46" s="87">
        <f t="shared" si="1"/>
        <v>99.998636728147545</v>
      </c>
    </row>
    <row r="47" spans="1:9" s="55" customFormat="1" ht="14.25" customHeight="1" x14ac:dyDescent="0.25">
      <c r="A47" s="92">
        <v>3293</v>
      </c>
      <c r="B47" s="93" t="s">
        <v>40</v>
      </c>
      <c r="C47" s="94">
        <v>3721.44</v>
      </c>
      <c r="D47" s="95">
        <v>3622.66</v>
      </c>
      <c r="E47" s="113">
        <v>3623</v>
      </c>
      <c r="F47" s="91">
        <f t="shared" si="0"/>
        <v>97.354787394127001</v>
      </c>
      <c r="G47" s="87">
        <f t="shared" si="1"/>
        <v>100.00938536876218</v>
      </c>
      <c r="H47" s="55">
        <v>0</v>
      </c>
      <c r="I47" s="55">
        <v>0</v>
      </c>
    </row>
    <row r="48" spans="1:9" s="55" customFormat="1" ht="14.25" customHeight="1" x14ac:dyDescent="0.25">
      <c r="A48" s="92">
        <v>3294</v>
      </c>
      <c r="B48" s="93" t="s">
        <v>41</v>
      </c>
      <c r="C48" s="94">
        <v>1400</v>
      </c>
      <c r="D48" s="95">
        <v>1200</v>
      </c>
      <c r="E48" s="113">
        <v>1200</v>
      </c>
      <c r="F48" s="91">
        <f t="shared" si="0"/>
        <v>85.714285714285708</v>
      </c>
      <c r="G48" s="87">
        <f t="shared" si="1"/>
        <v>100</v>
      </c>
      <c r="H48" s="55">
        <v>0</v>
      </c>
      <c r="I48" s="55">
        <v>0</v>
      </c>
    </row>
    <row r="49" spans="1:7" s="55" customFormat="1" ht="14.25" customHeight="1" x14ac:dyDescent="0.25">
      <c r="A49" s="92">
        <v>3295</v>
      </c>
      <c r="B49" s="93" t="s">
        <v>42</v>
      </c>
      <c r="C49" s="94">
        <v>38950</v>
      </c>
      <c r="D49" s="95">
        <v>43275</v>
      </c>
      <c r="E49" s="114">
        <v>43275</v>
      </c>
      <c r="F49" s="91">
        <f t="shared" si="0"/>
        <v>111.10397946084724</v>
      </c>
      <c r="G49" s="87">
        <f t="shared" si="1"/>
        <v>100</v>
      </c>
    </row>
    <row r="50" spans="1:7" s="55" customFormat="1" ht="14.25" customHeight="1" x14ac:dyDescent="0.25">
      <c r="A50" s="92">
        <v>3299</v>
      </c>
      <c r="B50" s="93" t="s">
        <v>11</v>
      </c>
      <c r="C50" s="94">
        <v>15492.76</v>
      </c>
      <c r="D50" s="95">
        <v>20455.48</v>
      </c>
      <c r="E50" s="114">
        <v>17867.98</v>
      </c>
      <c r="F50" s="91">
        <f t="shared" si="0"/>
        <v>115.33116113591122</v>
      </c>
      <c r="G50" s="87">
        <f t="shared" si="1"/>
        <v>87.350577938039095</v>
      </c>
    </row>
    <row r="51" spans="1:7" s="55" customFormat="1" ht="14.25" customHeight="1" x14ac:dyDescent="0.25">
      <c r="A51" s="92"/>
      <c r="B51" s="93"/>
      <c r="C51" s="94"/>
      <c r="D51" s="95"/>
      <c r="E51" s="114"/>
      <c r="F51" s="91"/>
      <c r="G51" s="87"/>
    </row>
    <row r="52" spans="1:7" s="55" customFormat="1" ht="15" x14ac:dyDescent="0.25">
      <c r="A52" s="92"/>
      <c r="B52" s="93"/>
      <c r="C52" s="94"/>
      <c r="D52" s="95"/>
      <c r="E52" s="114"/>
      <c r="F52" s="91"/>
      <c r="G52" s="87"/>
    </row>
    <row r="53" spans="1:7" s="110" customFormat="1" ht="15" x14ac:dyDescent="0.25">
      <c r="A53" s="106">
        <v>343</v>
      </c>
      <c r="B53" s="107" t="s">
        <v>53</v>
      </c>
      <c r="C53" s="108">
        <f t="shared" ref="C53" si="7">SUM(C54:C56)</f>
        <v>4675.55</v>
      </c>
      <c r="D53" s="109">
        <f>SUM(D54:D56)</f>
        <v>6448.19</v>
      </c>
      <c r="E53" s="109">
        <f t="shared" ref="E53" si="8">SUM(E54:E56)</f>
        <v>6171.9199999999992</v>
      </c>
      <c r="F53" s="91">
        <f t="shared" si="0"/>
        <v>132.00414924447387</v>
      </c>
      <c r="G53" s="87">
        <f t="shared" si="1"/>
        <v>95.715541880744823</v>
      </c>
    </row>
    <row r="54" spans="1:7" s="55" customFormat="1" ht="15" x14ac:dyDescent="0.25">
      <c r="A54" s="92">
        <v>3431</v>
      </c>
      <c r="B54" s="93" t="s">
        <v>43</v>
      </c>
      <c r="C54" s="94">
        <v>4063.65</v>
      </c>
      <c r="D54" s="95">
        <v>6010</v>
      </c>
      <c r="E54" s="114">
        <v>5775.45</v>
      </c>
      <c r="F54" s="91">
        <f t="shared" si="0"/>
        <v>142.12469085674209</v>
      </c>
      <c r="G54" s="87">
        <f t="shared" si="1"/>
        <v>96.097337770382694</v>
      </c>
    </row>
    <row r="55" spans="1:7" s="55" customFormat="1" ht="15" x14ac:dyDescent="0.25">
      <c r="A55" s="92">
        <v>3432</v>
      </c>
      <c r="B55" s="93" t="s">
        <v>44</v>
      </c>
      <c r="C55" s="94">
        <v>381.33</v>
      </c>
      <c r="D55" s="95">
        <v>38.19</v>
      </c>
      <c r="E55" s="114">
        <v>38.19</v>
      </c>
      <c r="F55" s="91">
        <f t="shared" si="0"/>
        <v>10.014947683109119</v>
      </c>
      <c r="G55" s="87">
        <f t="shared" si="1"/>
        <v>100</v>
      </c>
    </row>
    <row r="56" spans="1:7" s="55" customFormat="1" ht="15" x14ac:dyDescent="0.25">
      <c r="A56" s="92">
        <v>3433</v>
      </c>
      <c r="B56" s="93" t="s">
        <v>45</v>
      </c>
      <c r="C56" s="94">
        <v>230.57</v>
      </c>
      <c r="D56" s="95">
        <v>400</v>
      </c>
      <c r="E56" s="114">
        <v>358.28</v>
      </c>
      <c r="F56" s="91">
        <f t="shared" si="0"/>
        <v>155.38881901374853</v>
      </c>
      <c r="G56" s="87">
        <f t="shared" si="1"/>
        <v>89.57</v>
      </c>
    </row>
    <row r="57" spans="1:7" s="55" customFormat="1" ht="15" x14ac:dyDescent="0.25">
      <c r="A57" s="92"/>
      <c r="B57" s="93"/>
      <c r="C57" s="94"/>
      <c r="D57" s="95"/>
      <c r="E57" s="114"/>
      <c r="F57" s="91"/>
      <c r="G57" s="87"/>
    </row>
    <row r="58" spans="1:7" s="55" customFormat="1" ht="45" customHeight="1" x14ac:dyDescent="0.25">
      <c r="A58" s="115">
        <v>369</v>
      </c>
      <c r="B58" s="116" t="s">
        <v>124</v>
      </c>
      <c r="C58" s="117">
        <f>C59</f>
        <v>71732.3</v>
      </c>
      <c r="D58" s="117">
        <f t="shared" ref="D58:E58" si="9">D59</f>
        <v>0</v>
      </c>
      <c r="E58" s="117">
        <f t="shared" si="9"/>
        <v>0</v>
      </c>
      <c r="F58" s="91">
        <f t="shared" si="0"/>
        <v>0</v>
      </c>
      <c r="G58" s="87" t="e">
        <f t="shared" si="1"/>
        <v>#DIV/0!</v>
      </c>
    </row>
    <row r="59" spans="1:7" s="55" customFormat="1" ht="45" customHeight="1" x14ac:dyDescent="0.25">
      <c r="A59" s="92">
        <v>3693</v>
      </c>
      <c r="B59" s="118" t="s">
        <v>125</v>
      </c>
      <c r="C59" s="94">
        <v>71732.3</v>
      </c>
      <c r="D59" s="95"/>
      <c r="E59" s="114"/>
      <c r="F59" s="91"/>
      <c r="G59" s="87"/>
    </row>
    <row r="60" spans="1:7" s="55" customFormat="1" ht="15" x14ac:dyDescent="0.25">
      <c r="A60" s="92"/>
      <c r="B60" s="93"/>
      <c r="C60" s="94"/>
      <c r="D60" s="95"/>
      <c r="E60" s="114"/>
      <c r="F60" s="91"/>
      <c r="G60" s="87"/>
    </row>
    <row r="61" spans="1:7" s="110" customFormat="1" ht="15" x14ac:dyDescent="0.25">
      <c r="A61" s="106">
        <v>372</v>
      </c>
      <c r="B61" s="119" t="s">
        <v>54</v>
      </c>
      <c r="C61" s="108">
        <f t="shared" ref="C61" si="10">C62</f>
        <v>596209.65</v>
      </c>
      <c r="D61" s="109">
        <f>D62</f>
        <v>774337.38</v>
      </c>
      <c r="E61" s="109">
        <f>E62</f>
        <v>774337.38</v>
      </c>
      <c r="F61" s="91">
        <f t="shared" si="0"/>
        <v>129.87669354227995</v>
      </c>
      <c r="G61" s="87">
        <f t="shared" si="1"/>
        <v>100</v>
      </c>
    </row>
    <row r="62" spans="1:7" s="55" customFormat="1" ht="15" x14ac:dyDescent="0.25">
      <c r="A62" s="92" t="s">
        <v>15</v>
      </c>
      <c r="B62" s="93" t="s">
        <v>46</v>
      </c>
      <c r="C62" s="94">
        <v>596209.65</v>
      </c>
      <c r="D62" s="95">
        <v>774337.38</v>
      </c>
      <c r="E62" s="114">
        <v>774337.38</v>
      </c>
      <c r="F62" s="91">
        <f t="shared" si="0"/>
        <v>129.87669354227995</v>
      </c>
      <c r="G62" s="87">
        <f t="shared" si="1"/>
        <v>100</v>
      </c>
    </row>
    <row r="63" spans="1:7" s="55" customFormat="1" ht="15" x14ac:dyDescent="0.25">
      <c r="A63" s="92"/>
      <c r="B63" s="93"/>
      <c r="C63" s="94"/>
      <c r="D63" s="95"/>
      <c r="E63" s="114"/>
      <c r="F63" s="91"/>
      <c r="G63" s="87"/>
    </row>
    <row r="64" spans="1:7" s="110" customFormat="1" ht="15" x14ac:dyDescent="0.25">
      <c r="A64" s="106">
        <v>422</v>
      </c>
      <c r="B64" s="119" t="s">
        <v>55</v>
      </c>
      <c r="C64" s="108">
        <f>SUM(C65:C69)</f>
        <v>105566.04000000001</v>
      </c>
      <c r="D64" s="109">
        <f>SUM(D65:D69)</f>
        <v>181297.65</v>
      </c>
      <c r="E64" s="109">
        <f>SUM(E65:E69)</f>
        <v>154593.03</v>
      </c>
      <c r="F64" s="91">
        <f t="shared" si="0"/>
        <v>146.44200919159229</v>
      </c>
      <c r="G64" s="87">
        <f t="shared" si="1"/>
        <v>85.270288941969184</v>
      </c>
    </row>
    <row r="65" spans="1:7" s="55" customFormat="1" ht="15" x14ac:dyDescent="0.25">
      <c r="A65" s="92">
        <v>4221</v>
      </c>
      <c r="B65" s="97" t="s">
        <v>47</v>
      </c>
      <c r="C65" s="94">
        <v>63904.91</v>
      </c>
      <c r="D65" s="95">
        <v>137008.65</v>
      </c>
      <c r="E65" s="114">
        <v>122304.03</v>
      </c>
      <c r="F65" s="91">
        <f t="shared" si="0"/>
        <v>191.38440223137783</v>
      </c>
      <c r="G65" s="87">
        <f t="shared" si="1"/>
        <v>89.267378373555246</v>
      </c>
    </row>
    <row r="66" spans="1:7" s="55" customFormat="1" ht="15" x14ac:dyDescent="0.25">
      <c r="A66" s="92">
        <v>4222</v>
      </c>
      <c r="B66" s="97" t="s">
        <v>48</v>
      </c>
      <c r="C66" s="94">
        <v>834</v>
      </c>
      <c r="D66" s="95">
        <v>0</v>
      </c>
      <c r="E66" s="114"/>
      <c r="F66" s="91">
        <f t="shared" si="0"/>
        <v>0</v>
      </c>
      <c r="G66" s="87" t="e">
        <f t="shared" si="1"/>
        <v>#DIV/0!</v>
      </c>
    </row>
    <row r="67" spans="1:7" s="55" customFormat="1" ht="15" x14ac:dyDescent="0.25">
      <c r="A67" s="92">
        <v>4223</v>
      </c>
      <c r="B67" s="97" t="s">
        <v>49</v>
      </c>
      <c r="C67" s="94">
        <v>7490</v>
      </c>
      <c r="D67" s="95">
        <v>19107.5</v>
      </c>
      <c r="E67" s="114">
        <v>19107.5</v>
      </c>
      <c r="F67" s="91">
        <f t="shared" si="0"/>
        <v>255.10680907877168</v>
      </c>
      <c r="G67" s="87">
        <f t="shared" si="1"/>
        <v>100</v>
      </c>
    </row>
    <row r="68" spans="1:7" s="55" customFormat="1" ht="15" x14ac:dyDescent="0.25">
      <c r="A68" s="92">
        <v>4226</v>
      </c>
      <c r="B68" s="97" t="s">
        <v>50</v>
      </c>
      <c r="C68" s="94"/>
      <c r="D68" s="95">
        <v>0</v>
      </c>
      <c r="E68" s="114"/>
      <c r="F68" s="91" t="e">
        <f t="shared" si="0"/>
        <v>#DIV/0!</v>
      </c>
      <c r="G68" s="87" t="e">
        <f t="shared" si="1"/>
        <v>#DIV/0!</v>
      </c>
    </row>
    <row r="69" spans="1:7" s="55" customFormat="1" ht="30" x14ac:dyDescent="0.25">
      <c r="A69" s="92">
        <v>4227</v>
      </c>
      <c r="B69" s="120" t="s">
        <v>51</v>
      </c>
      <c r="C69" s="121">
        <v>33337.129999999997</v>
      </c>
      <c r="D69" s="95">
        <v>25181.5</v>
      </c>
      <c r="E69" s="96">
        <v>13181.5</v>
      </c>
      <c r="F69" s="91">
        <f t="shared" si="0"/>
        <v>39.539996394410679</v>
      </c>
      <c r="G69" s="87">
        <f t="shared" si="1"/>
        <v>52.345968270357204</v>
      </c>
    </row>
    <row r="70" spans="1:7" s="55" customFormat="1" ht="15" x14ac:dyDescent="0.25">
      <c r="A70" s="92"/>
      <c r="B70" s="120"/>
      <c r="C70" s="121"/>
      <c r="D70" s="95"/>
      <c r="E70" s="114"/>
      <c r="F70" s="91"/>
      <c r="G70" s="87"/>
    </row>
    <row r="71" spans="1:7" s="55" customFormat="1" ht="15" x14ac:dyDescent="0.25">
      <c r="A71" s="92">
        <v>4241</v>
      </c>
      <c r="B71" s="97" t="s">
        <v>52</v>
      </c>
      <c r="C71" s="122">
        <v>217757.72</v>
      </c>
      <c r="D71" s="105">
        <v>62265.440000000002</v>
      </c>
      <c r="E71" s="123">
        <v>62263.13</v>
      </c>
      <c r="F71" s="91">
        <f t="shared" si="0"/>
        <v>28.592846214591148</v>
      </c>
      <c r="G71" s="87">
        <f t="shared" si="1"/>
        <v>99.996290076806645</v>
      </c>
    </row>
    <row r="72" spans="1:7" s="55" customFormat="1" ht="15" x14ac:dyDescent="0.25">
      <c r="A72" s="102">
        <v>45</v>
      </c>
      <c r="B72" s="103" t="s">
        <v>13</v>
      </c>
      <c r="C72" s="104">
        <f t="shared" ref="C72" si="11">SUM(C73:C74)</f>
        <v>398339.63</v>
      </c>
      <c r="D72" s="105">
        <f>SUM(D73:D74)</f>
        <v>297301.31</v>
      </c>
      <c r="E72" s="105">
        <f>SUM(E73:E74)</f>
        <v>297301.31</v>
      </c>
      <c r="F72" s="91">
        <f t="shared" si="0"/>
        <v>74.635132336694696</v>
      </c>
      <c r="G72" s="87">
        <f t="shared" si="1"/>
        <v>100</v>
      </c>
    </row>
    <row r="73" spans="1:7" s="55" customFormat="1" ht="15" x14ac:dyDescent="0.25">
      <c r="A73" s="92">
        <v>4511</v>
      </c>
      <c r="B73" s="97" t="s">
        <v>12</v>
      </c>
      <c r="C73" s="94">
        <v>299402.13</v>
      </c>
      <c r="D73" s="95">
        <v>297301.31</v>
      </c>
      <c r="E73" s="114">
        <v>297301.31</v>
      </c>
      <c r="F73" s="91">
        <f t="shared" si="0"/>
        <v>99.298328305145986</v>
      </c>
      <c r="G73" s="87">
        <f t="shared" si="1"/>
        <v>100</v>
      </c>
    </row>
    <row r="74" spans="1:7" s="55" customFormat="1" ht="15" x14ac:dyDescent="0.25">
      <c r="A74" s="124">
        <v>4521</v>
      </c>
      <c r="B74" s="125" t="s">
        <v>14</v>
      </c>
      <c r="C74" s="126">
        <v>98937.5</v>
      </c>
      <c r="D74" s="127">
        <v>0</v>
      </c>
      <c r="E74" s="114"/>
      <c r="F74" s="91">
        <f t="shared" si="0"/>
        <v>0</v>
      </c>
      <c r="G74" s="87" t="e">
        <f t="shared" si="1"/>
        <v>#DIV/0!</v>
      </c>
    </row>
    <row r="75" spans="1:7" s="55" customFormat="1" ht="15" x14ac:dyDescent="0.25">
      <c r="A75" s="128"/>
      <c r="B75" s="129" t="s">
        <v>2</v>
      </c>
      <c r="C75" s="130">
        <f>SUM(C14:C17)+SUM(C21:C24)+SUM(C26:C31)+SUM(C33:C41)+SUM(C45:C50)+SUM(C54:C56)+C62+SUM(C65:C69)+C71+SUM(C73:C74)+C59</f>
        <v>20108897.359999996</v>
      </c>
      <c r="D75" s="130">
        <f>SUM(D14:D16)+SUM(D21:D24)+SUM(D26:D31)+SUM(D33:D41)+SUM(D45:D50)+SUM(D54:D56)+D62+SUM(D65:D69)+D71+SUM(D73:D74)+D43</f>
        <v>21648024.550000001</v>
      </c>
      <c r="E75" s="130">
        <f>SUM(E14:E16)+SUM(E21:E24)+SUM(E26:E31)+SUM(E33:E41)+SUM(E45:E50)+SUM(E54:E56)+E62+SUM(E65:E69)+E71+SUM(E73:E74)</f>
        <v>21389337.009999998</v>
      </c>
      <c r="F75" s="91">
        <f t="shared" si="0"/>
        <v>106.36752790109225</v>
      </c>
      <c r="G75" s="87">
        <f t="shared" si="1"/>
        <v>98.805029348509294</v>
      </c>
    </row>
    <row r="76" spans="1:7" s="55" customFormat="1" ht="15" x14ac:dyDescent="0.25">
      <c r="A76" s="131"/>
      <c r="B76" s="132" t="s">
        <v>3</v>
      </c>
      <c r="C76" s="130">
        <f>C12+C19+C53+C61+C64+C71+C72+C58</f>
        <v>20108897.359999999</v>
      </c>
      <c r="D76" s="130">
        <f>D12+D19+D53+D61+D64+D71+D72+D43</f>
        <v>21648024.550000001</v>
      </c>
      <c r="E76" s="130">
        <f>E12+E19+E53+E61+E64+E71+E72</f>
        <v>21389337.009999998</v>
      </c>
      <c r="F76" s="91">
        <f t="shared" si="0"/>
        <v>106.36752790109223</v>
      </c>
      <c r="G76" s="87">
        <f t="shared" si="1"/>
        <v>98.805029348509294</v>
      </c>
    </row>
  </sheetData>
  <mergeCells count="3">
    <mergeCell ref="B1:G1"/>
    <mergeCell ref="A2:G2"/>
    <mergeCell ref="B3:G3"/>
  </mergeCells>
  <pageMargins left="0.19685039370078741" right="0.19685039370078741" top="0" bottom="0" header="0.7086614173228347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="150" zoomScaleNormal="150" workbookViewId="0">
      <pane xSplit="1" topLeftCell="B1" activePane="topRight" state="frozen"/>
      <selection activeCell="K22" sqref="K22"/>
      <selection pane="topRight" activeCell="D34" sqref="D34"/>
    </sheetView>
  </sheetViews>
  <sheetFormatPr defaultRowHeight="14.25" x14ac:dyDescent="0.2"/>
  <cols>
    <col min="1" max="1" width="11.140625" style="4" customWidth="1"/>
    <col min="2" max="2" width="52.5703125" style="5" customWidth="1"/>
    <col min="3" max="3" width="24.7109375" style="2" customWidth="1"/>
    <col min="4" max="4" width="25.7109375" style="1" customWidth="1"/>
    <col min="5" max="5" width="13.42578125" style="1" customWidth="1"/>
    <col min="6" max="7" width="0" style="1" hidden="1" customWidth="1"/>
    <col min="8" max="8" width="10.42578125" style="1" customWidth="1"/>
    <col min="9" max="16384" width="9.140625" style="1"/>
  </cols>
  <sheetData>
    <row r="1" spans="1:8" s="55" customFormat="1" ht="15" x14ac:dyDescent="0.25">
      <c r="A1" s="54"/>
      <c r="B1" s="216"/>
      <c r="C1" s="216"/>
      <c r="D1" s="216"/>
      <c r="E1" s="216"/>
    </row>
    <row r="2" spans="1:8" s="55" customFormat="1" ht="24.75" customHeight="1" x14ac:dyDescent="0.35">
      <c r="A2" s="217" t="s">
        <v>137</v>
      </c>
      <c r="B2" s="218"/>
      <c r="C2" s="218"/>
      <c r="D2" s="218"/>
      <c r="E2" s="218"/>
      <c r="F2" s="56"/>
      <c r="G2" s="56"/>
      <c r="H2" s="56"/>
    </row>
    <row r="3" spans="1:8" s="55" customFormat="1" ht="20.25" customHeight="1" x14ac:dyDescent="0.25">
      <c r="A3" s="56"/>
      <c r="B3" s="219" t="s">
        <v>138</v>
      </c>
      <c r="C3" s="219"/>
      <c r="D3" s="219"/>
      <c r="E3" s="219"/>
      <c r="F3" s="56"/>
      <c r="G3" s="56"/>
      <c r="H3" s="56"/>
    </row>
    <row r="4" spans="1:8" s="55" customFormat="1" ht="20.25" customHeight="1" x14ac:dyDescent="0.25">
      <c r="A4" s="56"/>
      <c r="B4" s="56"/>
      <c r="C4" s="57"/>
      <c r="D4" s="56"/>
      <c r="E4" s="56"/>
      <c r="F4" s="56"/>
      <c r="G4" s="56"/>
      <c r="H4" s="56"/>
    </row>
    <row r="5" spans="1:8" s="55" customFormat="1" ht="18" customHeight="1" x14ac:dyDescent="0.3">
      <c r="A5" s="58" t="s">
        <v>5</v>
      </c>
      <c r="B5" s="59"/>
      <c r="C5" s="78"/>
      <c r="D5" s="59"/>
      <c r="E5" s="79"/>
    </row>
    <row r="6" spans="1:8" s="55" customFormat="1" ht="15" customHeight="1" x14ac:dyDescent="0.25">
      <c r="A6" s="63" t="s">
        <v>56</v>
      </c>
      <c r="C6" s="80"/>
      <c r="E6" s="77"/>
    </row>
    <row r="7" spans="1:8" s="55" customFormat="1" ht="16.5" customHeight="1" x14ac:dyDescent="0.25">
      <c r="A7" s="67"/>
      <c r="C7" s="80"/>
      <c r="E7" s="77"/>
    </row>
    <row r="8" spans="1:8" s="55" customFormat="1" ht="8.25" customHeight="1" x14ac:dyDescent="0.25">
      <c r="A8" s="71"/>
      <c r="B8" s="71"/>
      <c r="C8" s="81"/>
      <c r="D8" s="71"/>
      <c r="E8" s="82"/>
    </row>
    <row r="9" spans="1:8" s="55" customFormat="1" ht="15.75" customHeight="1" x14ac:dyDescent="0.25">
      <c r="A9" s="71"/>
      <c r="B9" s="71">
        <v>1</v>
      </c>
      <c r="C9" s="83">
        <v>2</v>
      </c>
      <c r="D9" s="84" t="s">
        <v>128</v>
      </c>
      <c r="E9" s="84" t="s">
        <v>89</v>
      </c>
      <c r="F9" s="71"/>
      <c r="G9" s="71"/>
    </row>
    <row r="10" spans="1:8" s="77" customFormat="1" ht="43.5" x14ac:dyDescent="0.25">
      <c r="A10" s="72" t="s">
        <v>139</v>
      </c>
      <c r="B10" s="72" t="s">
        <v>140</v>
      </c>
      <c r="C10" s="73" t="s">
        <v>86</v>
      </c>
      <c r="D10" s="72" t="s">
        <v>127</v>
      </c>
      <c r="E10" s="75" t="s">
        <v>129</v>
      </c>
      <c r="F10" s="76" t="s">
        <v>0</v>
      </c>
      <c r="G10" s="76" t="s">
        <v>1</v>
      </c>
    </row>
    <row r="11" spans="1:8" s="55" customFormat="1" ht="14.25" customHeight="1" x14ac:dyDescent="0.25">
      <c r="A11" s="85"/>
      <c r="B11" s="85"/>
      <c r="C11" s="86"/>
      <c r="D11" s="87"/>
      <c r="E11" s="87"/>
      <c r="F11" s="88">
        <f>SUM(F12:F18)</f>
        <v>0</v>
      </c>
      <c r="G11" s="88">
        <f>SUM(G12:G18)</f>
        <v>0</v>
      </c>
    </row>
    <row r="12" spans="1:8" s="55" customFormat="1" ht="14.25" customHeight="1" x14ac:dyDescent="0.25">
      <c r="A12" s="89">
        <v>1</v>
      </c>
      <c r="B12" s="89" t="s">
        <v>141</v>
      </c>
      <c r="C12" s="91">
        <f>C13+C14</f>
        <v>6509060.7400000002</v>
      </c>
      <c r="D12" s="91">
        <f>D13+D14</f>
        <v>6503822.04</v>
      </c>
      <c r="E12" s="87">
        <f>D12/C12*100</f>
        <v>99.919516805738084</v>
      </c>
      <c r="F12" s="55">
        <v>0</v>
      </c>
      <c r="G12" s="55">
        <v>0</v>
      </c>
    </row>
    <row r="13" spans="1:8" s="55" customFormat="1" ht="14.25" customHeight="1" x14ac:dyDescent="0.25">
      <c r="A13" s="92"/>
      <c r="B13" s="93" t="s">
        <v>142</v>
      </c>
      <c r="C13" s="95">
        <v>3254530.37</v>
      </c>
      <c r="D13" s="96">
        <f>'PRIH I PRIMICI PO EK KL'!E34</f>
        <v>3253727.44</v>
      </c>
      <c r="E13" s="87">
        <f t="shared" ref="E13:E45" si="0">D13/C13*100</f>
        <v>99.975328852131739</v>
      </c>
    </row>
    <row r="14" spans="1:8" s="55" customFormat="1" ht="14.25" customHeight="1" x14ac:dyDescent="0.25">
      <c r="A14" s="92"/>
      <c r="B14" s="97" t="s">
        <v>143</v>
      </c>
      <c r="C14" s="95">
        <v>3254530.37</v>
      </c>
      <c r="D14" s="96">
        <f>'1 OPĆI PRIHODI I PRIMICI'!D78</f>
        <v>3250094.6</v>
      </c>
      <c r="E14" s="87">
        <f t="shared" si="0"/>
        <v>99.863704759344429</v>
      </c>
    </row>
    <row r="15" spans="1:8" s="55" customFormat="1" ht="14.25" customHeight="1" x14ac:dyDescent="0.25">
      <c r="A15" s="92"/>
      <c r="B15" s="93" t="s">
        <v>144</v>
      </c>
      <c r="C15" s="95"/>
      <c r="D15" s="96"/>
      <c r="E15" s="87"/>
    </row>
    <row r="16" spans="1:8" s="55" customFormat="1" ht="14.25" customHeight="1" x14ac:dyDescent="0.25">
      <c r="A16" s="92"/>
      <c r="B16" s="93"/>
      <c r="C16" s="95"/>
      <c r="D16" s="98"/>
      <c r="E16" s="87"/>
    </row>
    <row r="17" spans="1:5" s="55" customFormat="1" ht="14.25" customHeight="1" x14ac:dyDescent="0.25">
      <c r="A17" s="102">
        <v>3</v>
      </c>
      <c r="B17" s="143" t="s">
        <v>145</v>
      </c>
      <c r="C17" s="105">
        <f>C19+C18</f>
        <v>57744</v>
      </c>
      <c r="D17" s="105">
        <f>D19+D18</f>
        <v>31207.760000000002</v>
      </c>
      <c r="E17" s="87">
        <f t="shared" si="0"/>
        <v>54.045026323081188</v>
      </c>
    </row>
    <row r="18" spans="1:5" s="55" customFormat="1" ht="14.25" customHeight="1" x14ac:dyDescent="0.25">
      <c r="A18" s="92"/>
      <c r="B18" s="99" t="s">
        <v>142</v>
      </c>
      <c r="C18" s="95">
        <v>28872</v>
      </c>
      <c r="D18" s="98">
        <f>'PRIH I PRIMICI PO EK KL'!E21+'PRIH I PRIMICI PO EK KL'!E28</f>
        <v>28832.400000000001</v>
      </c>
      <c r="E18" s="87">
        <f t="shared" si="0"/>
        <v>99.862842892768086</v>
      </c>
    </row>
    <row r="19" spans="1:5" s="55" customFormat="1" ht="20.100000000000001" customHeight="1" x14ac:dyDescent="0.25">
      <c r="A19" s="102"/>
      <c r="B19" s="97" t="s">
        <v>143</v>
      </c>
      <c r="C19" s="95">
        <f>28872</f>
        <v>28872</v>
      </c>
      <c r="D19" s="95">
        <f>'3 VLASTITI PRIHODI'!D78</f>
        <v>2375.36</v>
      </c>
      <c r="E19" s="87">
        <f t="shared" si="0"/>
        <v>8.2272097533942912</v>
      </c>
    </row>
    <row r="20" spans="1:5" s="110" customFormat="1" ht="20.100000000000001" customHeight="1" x14ac:dyDescent="0.25">
      <c r="A20" s="106"/>
      <c r="B20" s="107" t="s">
        <v>146</v>
      </c>
      <c r="C20" s="147">
        <v>45996.83</v>
      </c>
      <c r="D20" s="147">
        <v>45996.83</v>
      </c>
      <c r="E20" s="87">
        <f t="shared" si="0"/>
        <v>100</v>
      </c>
    </row>
    <row r="21" spans="1:5" s="55" customFormat="1" ht="14.25" customHeight="1" x14ac:dyDescent="0.25">
      <c r="A21" s="92"/>
      <c r="B21" s="93"/>
      <c r="C21" s="95"/>
      <c r="D21" s="98"/>
      <c r="E21" s="87"/>
    </row>
    <row r="22" spans="1:5" s="55" customFormat="1" ht="14.25" customHeight="1" x14ac:dyDescent="0.25">
      <c r="A22" s="102">
        <v>4</v>
      </c>
      <c r="B22" s="143" t="s">
        <v>147</v>
      </c>
      <c r="C22" s="105">
        <f>C24+C23</f>
        <v>943751.04</v>
      </c>
      <c r="D22" s="105">
        <f>D24+D23</f>
        <v>860396.25</v>
      </c>
      <c r="E22" s="87">
        <f t="shared" si="0"/>
        <v>91.167714103922989</v>
      </c>
    </row>
    <row r="23" spans="1:5" s="55" customFormat="1" ht="14.25" customHeight="1" x14ac:dyDescent="0.25">
      <c r="A23" s="92"/>
      <c r="B23" s="99" t="s">
        <v>142</v>
      </c>
      <c r="C23" s="95">
        <v>471875.52</v>
      </c>
      <c r="D23" s="98">
        <f>'PRIH I PRIMICI PO EK KL'!E24</f>
        <v>471875.52</v>
      </c>
      <c r="E23" s="87">
        <f t="shared" si="0"/>
        <v>100</v>
      </c>
    </row>
    <row r="24" spans="1:5" s="55" customFormat="1" ht="14.25" customHeight="1" x14ac:dyDescent="0.25">
      <c r="A24" s="92"/>
      <c r="B24" s="97" t="s">
        <v>143</v>
      </c>
      <c r="C24" s="95">
        <f>471875.52</f>
        <v>471875.52</v>
      </c>
      <c r="D24" s="98">
        <f>'4 PRIHODI ZA POSEBNE NAMJENE'!D77</f>
        <v>388520.73</v>
      </c>
      <c r="E24" s="87">
        <f t="shared" si="0"/>
        <v>82.335428207845993</v>
      </c>
    </row>
    <row r="25" spans="1:5" s="110" customFormat="1" ht="14.25" customHeight="1" x14ac:dyDescent="0.25">
      <c r="A25" s="106"/>
      <c r="B25" s="107" t="s">
        <v>146</v>
      </c>
      <c r="C25" s="147">
        <v>6635.78</v>
      </c>
      <c r="D25" s="147">
        <v>6635.78</v>
      </c>
      <c r="E25" s="87">
        <f t="shared" si="0"/>
        <v>100</v>
      </c>
    </row>
    <row r="26" spans="1:5" s="55" customFormat="1" ht="14.25" customHeight="1" x14ac:dyDescent="0.25">
      <c r="A26" s="92"/>
      <c r="B26" s="93"/>
      <c r="C26" s="95"/>
      <c r="D26" s="98"/>
      <c r="E26" s="87"/>
    </row>
    <row r="27" spans="1:5" s="55" customFormat="1" ht="14.25" customHeight="1" x14ac:dyDescent="0.25">
      <c r="A27" s="102">
        <v>5</v>
      </c>
      <c r="B27" s="143" t="s">
        <v>148</v>
      </c>
      <c r="C27" s="105">
        <f>C29+C28</f>
        <v>35371094.899999999</v>
      </c>
      <c r="D27" s="105">
        <f>D29+D28</f>
        <v>35239170.719999999</v>
      </c>
      <c r="E27" s="87">
        <f t="shared" si="0"/>
        <v>99.62702828291583</v>
      </c>
    </row>
    <row r="28" spans="1:5" s="55" customFormat="1" ht="14.25" customHeight="1" x14ac:dyDescent="0.25">
      <c r="A28" s="92"/>
      <c r="B28" s="99" t="s">
        <v>142</v>
      </c>
      <c r="C28" s="95">
        <v>17685547.449999999</v>
      </c>
      <c r="D28" s="98">
        <f>'PRIH I PRIMICI PO EK KL'!E13+'PRIH I PRIMICI PO EK KL'!E16+'PRIH I PRIMICI PO EK KL'!E18+'PRIH I PRIMICI PO EK KL'!E11</f>
        <v>17660871.439999998</v>
      </c>
      <c r="E28" s="87">
        <f t="shared" si="0"/>
        <v>99.860473586866533</v>
      </c>
    </row>
    <row r="29" spans="1:5" s="55" customFormat="1" ht="14.25" customHeight="1" x14ac:dyDescent="0.25">
      <c r="A29" s="92"/>
      <c r="B29" s="97" t="s">
        <v>143</v>
      </c>
      <c r="C29" s="95">
        <f>16965791.23+117127.08+580834+21795.14</f>
        <v>17685547.449999999</v>
      </c>
      <c r="D29" s="98">
        <f>'5 POMOĆI'!D77+'5 POMOĆI SHEMA PMN PREH'!D77+'5 POMOĆI HZZ PRIPR ERASMUS'!D77</f>
        <v>17578299.280000001</v>
      </c>
      <c r="E29" s="87">
        <f t="shared" si="0"/>
        <v>99.393582978965128</v>
      </c>
    </row>
    <row r="30" spans="1:5" s="55" customFormat="1" ht="14.25" customHeight="1" x14ac:dyDescent="0.25">
      <c r="A30" s="92"/>
      <c r="B30" s="107" t="s">
        <v>146</v>
      </c>
      <c r="C30" s="147">
        <v>133458.1</v>
      </c>
      <c r="D30" s="148">
        <v>97905.93</v>
      </c>
      <c r="E30" s="87">
        <f t="shared" si="0"/>
        <v>73.360800131277145</v>
      </c>
    </row>
    <row r="31" spans="1:5" s="55" customFormat="1" ht="14.25" customHeight="1" x14ac:dyDescent="0.25">
      <c r="A31" s="92"/>
      <c r="B31" s="93"/>
      <c r="C31" s="95"/>
      <c r="D31" s="98"/>
      <c r="E31" s="87"/>
    </row>
    <row r="32" spans="1:5" s="110" customFormat="1" ht="14.25" customHeight="1" x14ac:dyDescent="0.25">
      <c r="A32" s="144">
        <v>6</v>
      </c>
      <c r="B32" s="145" t="s">
        <v>149</v>
      </c>
      <c r="C32" s="105">
        <f>C34+C33</f>
        <v>28841.68</v>
      </c>
      <c r="D32" s="105">
        <f>D34+D33</f>
        <v>27241.68</v>
      </c>
      <c r="E32" s="87">
        <f t="shared" si="0"/>
        <v>94.452472948871218</v>
      </c>
    </row>
    <row r="33" spans="1:5" s="55" customFormat="1" ht="14.25" customHeight="1" x14ac:dyDescent="0.25">
      <c r="A33" s="92"/>
      <c r="B33" s="99" t="s">
        <v>142</v>
      </c>
      <c r="C33" s="95">
        <v>14420.84</v>
      </c>
      <c r="D33" s="98">
        <f>'PRIH I PRIMICI PO EK KL'!E31</f>
        <v>14420.84</v>
      </c>
      <c r="E33" s="87">
        <f t="shared" si="0"/>
        <v>100</v>
      </c>
    </row>
    <row r="34" spans="1:5" s="55" customFormat="1" ht="14.25" customHeight="1" x14ac:dyDescent="0.25">
      <c r="A34" s="92"/>
      <c r="B34" s="97" t="s">
        <v>143</v>
      </c>
      <c r="C34" s="95">
        <v>14420.84</v>
      </c>
      <c r="D34" s="98">
        <f>'6 DONACIJE'!D77</f>
        <v>12820.84</v>
      </c>
      <c r="E34" s="87">
        <f t="shared" si="0"/>
        <v>88.904945897742437</v>
      </c>
    </row>
    <row r="35" spans="1:5" s="55" customFormat="1" ht="14.25" customHeight="1" x14ac:dyDescent="0.25">
      <c r="A35" s="92"/>
      <c r="B35" s="107" t="s">
        <v>146</v>
      </c>
      <c r="C35" s="147"/>
      <c r="D35" s="148"/>
      <c r="E35" s="87"/>
    </row>
    <row r="36" spans="1:5" s="55" customFormat="1" ht="14.25" customHeight="1" x14ac:dyDescent="0.25">
      <c r="A36" s="92"/>
      <c r="B36" s="93"/>
      <c r="C36" s="95"/>
      <c r="D36" s="98"/>
      <c r="E36" s="87"/>
    </row>
    <row r="37" spans="1:5" s="55" customFormat="1" ht="14.25" customHeight="1" x14ac:dyDescent="0.25">
      <c r="A37" s="102">
        <v>7</v>
      </c>
      <c r="B37" s="143" t="s">
        <v>150</v>
      </c>
      <c r="C37" s="95"/>
      <c r="D37" s="98"/>
      <c r="E37" s="87"/>
    </row>
    <row r="38" spans="1:5" s="55" customFormat="1" ht="14.25" customHeight="1" x14ac:dyDescent="0.25">
      <c r="A38" s="92"/>
      <c r="B38" s="99" t="s">
        <v>142</v>
      </c>
      <c r="C38" s="95"/>
      <c r="D38" s="98"/>
      <c r="E38" s="87"/>
    </row>
    <row r="39" spans="1:5" s="55" customFormat="1" ht="14.25" customHeight="1" x14ac:dyDescent="0.25">
      <c r="A39" s="92"/>
      <c r="B39" s="97" t="s">
        <v>143</v>
      </c>
      <c r="C39" s="95"/>
      <c r="D39" s="98"/>
      <c r="E39" s="87"/>
    </row>
    <row r="40" spans="1:5" s="55" customFormat="1" ht="14.25" customHeight="1" x14ac:dyDescent="0.25">
      <c r="A40" s="92"/>
      <c r="B40" s="107" t="s">
        <v>146</v>
      </c>
      <c r="C40" s="147">
        <v>6687.66</v>
      </c>
      <c r="D40" s="148">
        <v>6687.66</v>
      </c>
      <c r="E40" s="87">
        <f t="shared" si="0"/>
        <v>100</v>
      </c>
    </row>
    <row r="41" spans="1:5" s="55" customFormat="1" ht="14.25" customHeight="1" x14ac:dyDescent="0.25">
      <c r="A41" s="92"/>
      <c r="B41" s="93"/>
      <c r="C41" s="95"/>
      <c r="D41" s="98"/>
      <c r="E41" s="87"/>
    </row>
    <row r="42" spans="1:5" s="55" customFormat="1" ht="14.25" customHeight="1" x14ac:dyDescent="0.25">
      <c r="A42" s="92"/>
      <c r="B42" s="93"/>
      <c r="C42" s="95"/>
      <c r="D42" s="98"/>
      <c r="E42" s="87"/>
    </row>
    <row r="43" spans="1:5" s="55" customFormat="1" ht="14.25" customHeight="1" x14ac:dyDescent="0.25">
      <c r="A43" s="92"/>
      <c r="B43" s="146" t="s">
        <v>135</v>
      </c>
      <c r="C43" s="105">
        <f t="shared" ref="C43:D45" si="1">C13+C18+C23+C28+C33+C38</f>
        <v>21455246.18</v>
      </c>
      <c r="D43" s="105">
        <f>D13+D18+D23+D28+D33+D38</f>
        <v>21429727.639999997</v>
      </c>
      <c r="E43" s="87">
        <f t="shared" si="0"/>
        <v>99.881061537183442</v>
      </c>
    </row>
    <row r="44" spans="1:5" s="110" customFormat="1" ht="14.25" customHeight="1" x14ac:dyDescent="0.25">
      <c r="A44" s="106"/>
      <c r="B44" s="146" t="s">
        <v>151</v>
      </c>
      <c r="C44" s="105">
        <f t="shared" si="1"/>
        <v>21455246.18</v>
      </c>
      <c r="D44" s="105">
        <f t="shared" si="1"/>
        <v>21232110.810000002</v>
      </c>
      <c r="E44" s="87">
        <f t="shared" si="0"/>
        <v>98.959996225967345</v>
      </c>
    </row>
    <row r="45" spans="1:5" s="55" customFormat="1" ht="14.25" customHeight="1" x14ac:dyDescent="0.25">
      <c r="A45" s="92"/>
      <c r="B45" s="146" t="s">
        <v>152</v>
      </c>
      <c r="C45" s="147">
        <f t="shared" si="1"/>
        <v>192778.37000000002</v>
      </c>
      <c r="D45" s="147">
        <f t="shared" si="1"/>
        <v>157226.19999999998</v>
      </c>
      <c r="E45" s="87">
        <f t="shared" si="0"/>
        <v>81.558008816030537</v>
      </c>
    </row>
    <row r="46" spans="1:5" s="55" customFormat="1" ht="14.25" customHeight="1" x14ac:dyDescent="0.25">
      <c r="A46" s="92"/>
      <c r="B46" s="93"/>
      <c r="C46" s="95"/>
      <c r="D46" s="113"/>
      <c r="E46" s="87"/>
    </row>
    <row r="47" spans="1:5" s="55" customFormat="1" ht="15" x14ac:dyDescent="0.25">
      <c r="A47" s="92"/>
      <c r="B47" s="93"/>
      <c r="C47" s="95">
        <f>C44+C45</f>
        <v>21648024.550000001</v>
      </c>
      <c r="D47" s="114">
        <f>D44+D45</f>
        <v>21389337.010000002</v>
      </c>
      <c r="E47" s="87"/>
    </row>
    <row r="48" spans="1:5" x14ac:dyDescent="0.2">
      <c r="D48" s="133"/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zoomScale="140" zoomScaleNormal="140" workbookViewId="0">
      <pane xSplit="1" topLeftCell="B1" activePane="topRight" state="frozen"/>
      <selection activeCell="K22" sqref="K22"/>
      <selection pane="topRight" activeCell="A9" sqref="A9"/>
    </sheetView>
  </sheetViews>
  <sheetFormatPr defaultRowHeight="14.25" x14ac:dyDescent="0.2"/>
  <cols>
    <col min="1" max="1" width="11.140625" style="4" customWidth="1"/>
    <col min="2" max="2" width="29" style="5" customWidth="1"/>
    <col min="3" max="3" width="18.7109375" style="2" customWidth="1"/>
    <col min="4" max="4" width="19.85546875" style="1" customWidth="1"/>
    <col min="5" max="5" width="13.42578125" style="1" customWidth="1"/>
    <col min="6" max="7" width="0" style="1" hidden="1" customWidth="1"/>
    <col min="8" max="8" width="10.42578125" style="1" customWidth="1"/>
    <col min="9" max="16384" width="9.140625" style="1"/>
  </cols>
  <sheetData>
    <row r="1" spans="1:8" s="55" customFormat="1" ht="15" x14ac:dyDescent="0.25">
      <c r="A1" s="54"/>
      <c r="B1" s="216"/>
      <c r="C1" s="216"/>
      <c r="D1" s="216"/>
      <c r="E1" s="216"/>
    </row>
    <row r="2" spans="1:8" s="55" customFormat="1" ht="24.75" customHeight="1" x14ac:dyDescent="0.35">
      <c r="A2" s="217" t="s">
        <v>123</v>
      </c>
      <c r="B2" s="218"/>
      <c r="C2" s="218"/>
      <c r="D2" s="218"/>
      <c r="E2" s="218"/>
      <c r="F2" s="56"/>
      <c r="G2" s="56"/>
      <c r="H2" s="56"/>
    </row>
    <row r="3" spans="1:8" s="55" customFormat="1" ht="20.25" customHeight="1" x14ac:dyDescent="0.25">
      <c r="A3" s="56"/>
      <c r="B3" s="219" t="s">
        <v>126</v>
      </c>
      <c r="C3" s="219"/>
      <c r="D3" s="219"/>
      <c r="E3" s="219"/>
      <c r="F3" s="56"/>
      <c r="G3" s="56"/>
      <c r="H3" s="56"/>
    </row>
    <row r="4" spans="1:8" s="55" customFormat="1" ht="20.25" customHeight="1" x14ac:dyDescent="0.25">
      <c r="A4" s="56"/>
      <c r="B4" s="56"/>
      <c r="C4" s="57"/>
      <c r="D4" s="56"/>
      <c r="E4" s="56"/>
      <c r="F4" s="56"/>
      <c r="G4" s="56"/>
      <c r="H4" s="56"/>
    </row>
    <row r="5" spans="1:8" s="55" customFormat="1" ht="18" customHeight="1" x14ac:dyDescent="0.3">
      <c r="A5" s="58" t="s">
        <v>5</v>
      </c>
      <c r="B5" s="59"/>
      <c r="C5" s="78"/>
      <c r="D5" s="59"/>
      <c r="E5" s="79"/>
    </row>
    <row r="6" spans="1:8" s="55" customFormat="1" ht="15" customHeight="1" x14ac:dyDescent="0.25">
      <c r="A6" s="63" t="s">
        <v>56</v>
      </c>
      <c r="C6" s="80"/>
      <c r="E6" s="77"/>
    </row>
    <row r="7" spans="1:8" s="55" customFormat="1" ht="16.5" customHeight="1" x14ac:dyDescent="0.25">
      <c r="A7" s="67"/>
      <c r="C7" s="80"/>
      <c r="E7" s="77"/>
    </row>
    <row r="8" spans="1:8" s="138" customFormat="1" ht="16.5" customHeight="1" x14ac:dyDescent="0.25">
      <c r="A8" s="137" t="s">
        <v>153</v>
      </c>
      <c r="C8" s="139"/>
      <c r="E8" s="140"/>
    </row>
    <row r="9" spans="1:8" s="138" customFormat="1" ht="16.5" customHeight="1" x14ac:dyDescent="0.25">
      <c r="A9" s="137" t="s">
        <v>154</v>
      </c>
      <c r="C9" s="139"/>
      <c r="E9" s="140"/>
    </row>
    <row r="10" spans="1:8" s="55" customFormat="1" ht="16.5" customHeight="1" x14ac:dyDescent="0.25">
      <c r="A10" s="67" t="s">
        <v>130</v>
      </c>
      <c r="C10" s="80"/>
      <c r="E10" s="77"/>
    </row>
    <row r="11" spans="1:8" s="55" customFormat="1" ht="8.25" customHeight="1" x14ac:dyDescent="0.25">
      <c r="A11" s="71"/>
      <c r="B11" s="71"/>
      <c r="C11" s="81"/>
      <c r="D11" s="71"/>
      <c r="E11" s="82"/>
    </row>
    <row r="12" spans="1:8" s="55" customFormat="1" ht="15.75" customHeight="1" x14ac:dyDescent="0.25">
      <c r="A12" s="71"/>
      <c r="B12" s="71">
        <v>1</v>
      </c>
      <c r="C12" s="83">
        <v>2</v>
      </c>
      <c r="D12" s="84" t="s">
        <v>128</v>
      </c>
      <c r="E12" s="84" t="s">
        <v>89</v>
      </c>
      <c r="F12" s="71"/>
      <c r="G12" s="71"/>
    </row>
    <row r="13" spans="1:8" s="77" customFormat="1" ht="43.5" x14ac:dyDescent="0.25">
      <c r="A13" s="72" t="s">
        <v>4</v>
      </c>
      <c r="B13" s="72" t="s">
        <v>58</v>
      </c>
      <c r="C13" s="73" t="s">
        <v>86</v>
      </c>
      <c r="D13" s="72" t="s">
        <v>127</v>
      </c>
      <c r="E13" s="75" t="s">
        <v>129</v>
      </c>
      <c r="F13" s="76" t="s">
        <v>0</v>
      </c>
      <c r="G13" s="76" t="s">
        <v>1</v>
      </c>
    </row>
    <row r="14" spans="1:8" s="55" customFormat="1" ht="14.25" customHeight="1" x14ac:dyDescent="0.25">
      <c r="A14" s="85">
        <v>3</v>
      </c>
      <c r="B14" s="85" t="s">
        <v>16</v>
      </c>
      <c r="C14" s="86"/>
      <c r="D14" s="87"/>
      <c r="E14" s="87"/>
      <c r="F14" s="88">
        <f>SUM(F15:F21)</f>
        <v>0</v>
      </c>
      <c r="G14" s="88">
        <f>SUM(G15:G21)</f>
        <v>0</v>
      </c>
    </row>
    <row r="15" spans="1:8" s="55" customFormat="1" ht="14.25" customHeight="1" x14ac:dyDescent="0.25">
      <c r="A15" s="89">
        <v>31</v>
      </c>
      <c r="B15" s="89" t="s">
        <v>6</v>
      </c>
      <c r="C15" s="91">
        <f>SUM(C17:C19)</f>
        <v>997773.11</v>
      </c>
      <c r="D15" s="91">
        <f>SUM(D17:D19)</f>
        <v>995746.61</v>
      </c>
      <c r="E15" s="87">
        <f>D15/C15*100</f>
        <v>99.796897713549328</v>
      </c>
      <c r="F15" s="55">
        <v>0</v>
      </c>
      <c r="G15" s="55">
        <v>0</v>
      </c>
    </row>
    <row r="16" spans="1:8" s="55" customFormat="1" ht="14.25" customHeight="1" x14ac:dyDescent="0.25">
      <c r="A16" s="92">
        <v>311</v>
      </c>
      <c r="B16" s="93" t="s">
        <v>7</v>
      </c>
      <c r="C16" s="95"/>
      <c r="D16" s="96"/>
      <c r="E16" s="87"/>
      <c r="F16" s="55">
        <v>0</v>
      </c>
      <c r="G16" s="55">
        <v>0</v>
      </c>
    </row>
    <row r="17" spans="1:7" s="55" customFormat="1" ht="14.25" customHeight="1" x14ac:dyDescent="0.25">
      <c r="A17" s="92">
        <v>3111</v>
      </c>
      <c r="B17" s="97" t="s">
        <v>17</v>
      </c>
      <c r="C17" s="95">
        <v>778000</v>
      </c>
      <c r="D17" s="96">
        <v>776708.99</v>
      </c>
      <c r="E17" s="87">
        <f t="shared" ref="E17:E79" si="0">D17/C17*100</f>
        <v>99.834060411311057</v>
      </c>
      <c r="F17" s="55">
        <v>0</v>
      </c>
      <c r="G17" s="55">
        <v>0</v>
      </c>
    </row>
    <row r="18" spans="1:7" s="55" customFormat="1" ht="14.25" customHeight="1" x14ac:dyDescent="0.25">
      <c r="A18" s="92">
        <v>3121</v>
      </c>
      <c r="B18" s="93" t="s">
        <v>8</v>
      </c>
      <c r="C18" s="95">
        <v>74509.25</v>
      </c>
      <c r="D18" s="96">
        <f>21660.92+52755.8</f>
        <v>74416.72</v>
      </c>
      <c r="E18" s="87">
        <f t="shared" si="0"/>
        <v>99.875814076775697</v>
      </c>
    </row>
    <row r="19" spans="1:7" s="55" customFormat="1" ht="14.25" customHeight="1" x14ac:dyDescent="0.25">
      <c r="A19" s="92">
        <v>3132</v>
      </c>
      <c r="B19" s="93" t="s">
        <v>18</v>
      </c>
      <c r="C19" s="95">
        <v>145263.85999999999</v>
      </c>
      <c r="D19" s="98">
        <f>128157.04+16463.86</f>
        <v>144620.9</v>
      </c>
      <c r="E19" s="87">
        <f t="shared" si="0"/>
        <v>99.557384748002704</v>
      </c>
    </row>
    <row r="20" spans="1:7" s="55" customFormat="1" ht="14.25" customHeight="1" x14ac:dyDescent="0.25">
      <c r="A20" s="92"/>
      <c r="B20" s="93"/>
      <c r="C20" s="95"/>
      <c r="D20" s="98"/>
      <c r="E20" s="87"/>
      <c r="F20" s="55">
        <v>0</v>
      </c>
      <c r="G20" s="55">
        <v>0</v>
      </c>
    </row>
    <row r="21" spans="1:7" s="55" customFormat="1" ht="14.25" customHeight="1" x14ac:dyDescent="0.25">
      <c r="A21" s="92"/>
      <c r="B21" s="99"/>
      <c r="C21" s="95"/>
      <c r="D21" s="101"/>
      <c r="E21" s="87"/>
      <c r="F21" s="55">
        <v>0</v>
      </c>
      <c r="G21" s="55">
        <v>0</v>
      </c>
    </row>
    <row r="22" spans="1:7" s="55" customFormat="1" ht="20.100000000000001" customHeight="1" x14ac:dyDescent="0.25">
      <c r="A22" s="102">
        <v>32</v>
      </c>
      <c r="B22" s="103" t="s">
        <v>9</v>
      </c>
      <c r="C22" s="105">
        <f>SUM(C23+C28+C35+C47)</f>
        <v>1484059.7799999998</v>
      </c>
      <c r="D22" s="105">
        <f>SUM(D23+D28+D35+D47)</f>
        <v>1483843.0699999998</v>
      </c>
      <c r="E22" s="87">
        <f t="shared" si="0"/>
        <v>99.985397488502798</v>
      </c>
    </row>
    <row r="23" spans="1:7" s="110" customFormat="1" ht="20.100000000000001" customHeight="1" x14ac:dyDescent="0.25">
      <c r="A23" s="106">
        <v>321</v>
      </c>
      <c r="B23" s="107"/>
      <c r="C23" s="109">
        <f>C24+C25+C26+C27</f>
        <v>96630</v>
      </c>
      <c r="D23" s="109">
        <f>D24+D25+D26+D27</f>
        <v>96446.94</v>
      </c>
      <c r="E23" s="87">
        <f t="shared" si="0"/>
        <v>99.810555728034771</v>
      </c>
    </row>
    <row r="24" spans="1:7" s="55" customFormat="1" ht="14.25" customHeight="1" x14ac:dyDescent="0.25">
      <c r="A24" s="92">
        <v>3211</v>
      </c>
      <c r="B24" s="93" t="s">
        <v>19</v>
      </c>
      <c r="C24" s="95">
        <v>32000</v>
      </c>
      <c r="D24" s="98">
        <f>33965+1000</f>
        <v>34965</v>
      </c>
      <c r="E24" s="87">
        <f t="shared" si="0"/>
        <v>109.26562500000001</v>
      </c>
    </row>
    <row r="25" spans="1:7" s="55" customFormat="1" ht="14.25" customHeight="1" x14ac:dyDescent="0.25">
      <c r="A25" s="92">
        <v>3212</v>
      </c>
      <c r="B25" s="93" t="s">
        <v>20</v>
      </c>
      <c r="C25" s="95">
        <v>49630</v>
      </c>
      <c r="D25" s="98">
        <f>11616.94+37830</f>
        <v>49446.94</v>
      </c>
      <c r="E25" s="87">
        <f t="shared" si="0"/>
        <v>99.63115051380214</v>
      </c>
    </row>
    <row r="26" spans="1:7" s="55" customFormat="1" ht="14.25" customHeight="1" x14ac:dyDescent="0.25">
      <c r="A26" s="92">
        <v>3213</v>
      </c>
      <c r="B26" s="93" t="s">
        <v>21</v>
      </c>
      <c r="C26" s="95">
        <v>5000</v>
      </c>
      <c r="D26" s="98">
        <v>3930</v>
      </c>
      <c r="E26" s="87">
        <f t="shared" si="0"/>
        <v>78.600000000000009</v>
      </c>
    </row>
    <row r="27" spans="1:7" s="55" customFormat="1" ht="14.25" customHeight="1" x14ac:dyDescent="0.25">
      <c r="A27" s="92">
        <v>3214</v>
      </c>
      <c r="B27" s="93" t="s">
        <v>22</v>
      </c>
      <c r="C27" s="95">
        <v>10000</v>
      </c>
      <c r="D27" s="98">
        <v>8105</v>
      </c>
      <c r="E27" s="87">
        <f t="shared" si="0"/>
        <v>81.05</v>
      </c>
    </row>
    <row r="28" spans="1:7" s="110" customFormat="1" ht="14.25" customHeight="1" x14ac:dyDescent="0.25">
      <c r="A28" s="106">
        <v>322</v>
      </c>
      <c r="B28" s="111"/>
      <c r="C28" s="109">
        <f>C29+C30+C31+C32+C33+C34</f>
        <v>820852.42999999993</v>
      </c>
      <c r="D28" s="109">
        <f>D29+D30+D31+D32+D33+D34</f>
        <v>820818.78</v>
      </c>
      <c r="E28" s="87">
        <f t="shared" si="0"/>
        <v>99.99590060298658</v>
      </c>
    </row>
    <row r="29" spans="1:7" s="55" customFormat="1" ht="14.25" customHeight="1" x14ac:dyDescent="0.25">
      <c r="A29" s="92">
        <v>3221</v>
      </c>
      <c r="B29" s="93" t="s">
        <v>23</v>
      </c>
      <c r="C29" s="95">
        <v>213897.15</v>
      </c>
      <c r="D29" s="98">
        <f>180000+33897.15</f>
        <v>213897.15</v>
      </c>
      <c r="E29" s="87">
        <f t="shared" si="0"/>
        <v>100</v>
      </c>
    </row>
    <row r="30" spans="1:7" s="55" customFormat="1" ht="14.25" customHeight="1" x14ac:dyDescent="0.25">
      <c r="A30" s="92">
        <v>3222</v>
      </c>
      <c r="B30" s="93" t="s">
        <v>24</v>
      </c>
      <c r="C30" s="95">
        <v>17604.28</v>
      </c>
      <c r="D30" s="98">
        <v>17604.28</v>
      </c>
      <c r="E30" s="87">
        <f>D30/C30*100</f>
        <v>100</v>
      </c>
    </row>
    <row r="31" spans="1:7" s="55" customFormat="1" ht="14.25" customHeight="1" x14ac:dyDescent="0.25">
      <c r="A31" s="92">
        <v>3223</v>
      </c>
      <c r="B31" s="93" t="s">
        <v>25</v>
      </c>
      <c r="C31" s="95">
        <v>570000</v>
      </c>
      <c r="D31" s="98">
        <v>569966.35</v>
      </c>
      <c r="E31" s="87">
        <f t="shared" si="0"/>
        <v>99.994096491228063</v>
      </c>
      <c r="F31" s="55">
        <v>0</v>
      </c>
      <c r="G31" s="55">
        <v>0</v>
      </c>
    </row>
    <row r="32" spans="1:7" s="55" customFormat="1" ht="14.25" customHeight="1" x14ac:dyDescent="0.25">
      <c r="A32" s="92">
        <v>3224</v>
      </c>
      <c r="B32" s="93" t="s">
        <v>26</v>
      </c>
      <c r="C32" s="95">
        <v>6000</v>
      </c>
      <c r="D32" s="98">
        <v>6000</v>
      </c>
      <c r="E32" s="87">
        <f t="shared" si="0"/>
        <v>100</v>
      </c>
      <c r="F32" s="55">
        <v>0</v>
      </c>
      <c r="G32" s="55">
        <v>0</v>
      </c>
    </row>
    <row r="33" spans="1:7" s="55" customFormat="1" ht="14.25" customHeight="1" x14ac:dyDescent="0.25">
      <c r="A33" s="92">
        <v>3225</v>
      </c>
      <c r="B33" s="93" t="s">
        <v>27</v>
      </c>
      <c r="C33" s="95">
        <v>6351</v>
      </c>
      <c r="D33" s="98">
        <v>6351</v>
      </c>
      <c r="E33" s="87">
        <f t="shared" si="0"/>
        <v>100</v>
      </c>
    </row>
    <row r="34" spans="1:7" s="55" customFormat="1" ht="14.25" customHeight="1" x14ac:dyDescent="0.25">
      <c r="A34" s="92">
        <v>3227</v>
      </c>
      <c r="B34" s="93" t="s">
        <v>28</v>
      </c>
      <c r="C34" s="95">
        <v>7000</v>
      </c>
      <c r="D34" s="98">
        <v>7000</v>
      </c>
      <c r="E34" s="87">
        <f t="shared" si="0"/>
        <v>100</v>
      </c>
    </row>
    <row r="35" spans="1:7" s="110" customFormat="1" ht="14.25" customHeight="1" x14ac:dyDescent="0.25">
      <c r="A35" s="106">
        <v>323</v>
      </c>
      <c r="B35" s="111"/>
      <c r="C35" s="109">
        <f>C36+C37+C38+C39+C40+C41+C42+C43+C44</f>
        <v>518739.12</v>
      </c>
      <c r="D35" s="109">
        <f>D36+D37+D38+D39+D40+D41+D42+D43+D44</f>
        <v>518739.12</v>
      </c>
      <c r="E35" s="87">
        <f t="shared" si="0"/>
        <v>100</v>
      </c>
    </row>
    <row r="36" spans="1:7" s="55" customFormat="1" ht="14.25" customHeight="1" x14ac:dyDescent="0.25">
      <c r="A36" s="92">
        <v>3231</v>
      </c>
      <c r="B36" s="93" t="s">
        <v>29</v>
      </c>
      <c r="C36" s="95">
        <v>35500</v>
      </c>
      <c r="D36" s="98">
        <v>35500</v>
      </c>
      <c r="E36" s="87">
        <f t="shared" si="0"/>
        <v>100</v>
      </c>
    </row>
    <row r="37" spans="1:7" s="55" customFormat="1" ht="14.25" customHeight="1" x14ac:dyDescent="0.25">
      <c r="A37" s="92">
        <v>3232</v>
      </c>
      <c r="B37" s="93" t="s">
        <v>30</v>
      </c>
      <c r="C37" s="95">
        <v>28968.75</v>
      </c>
      <c r="D37" s="98">
        <v>28968.75</v>
      </c>
      <c r="E37" s="87">
        <f t="shared" si="0"/>
        <v>100</v>
      </c>
    </row>
    <row r="38" spans="1:7" s="55" customFormat="1" ht="14.25" customHeight="1" x14ac:dyDescent="0.25">
      <c r="A38" s="92">
        <v>3233</v>
      </c>
      <c r="B38" s="93" t="s">
        <v>31</v>
      </c>
      <c r="C38" s="95">
        <v>1875</v>
      </c>
      <c r="D38" s="98">
        <v>1875</v>
      </c>
      <c r="E38" s="87">
        <f t="shared" si="0"/>
        <v>100</v>
      </c>
    </row>
    <row r="39" spans="1:7" s="55" customFormat="1" ht="14.25" customHeight="1" x14ac:dyDescent="0.25">
      <c r="A39" s="92">
        <v>3234</v>
      </c>
      <c r="B39" s="93" t="s">
        <v>32</v>
      </c>
      <c r="C39" s="95">
        <v>120000</v>
      </c>
      <c r="D39" s="98">
        <v>120000</v>
      </c>
      <c r="E39" s="87">
        <f t="shared" si="0"/>
        <v>100</v>
      </c>
    </row>
    <row r="40" spans="1:7" s="55" customFormat="1" ht="14.25" customHeight="1" x14ac:dyDescent="0.25">
      <c r="A40" s="92">
        <v>3235</v>
      </c>
      <c r="B40" s="93" t="s">
        <v>33</v>
      </c>
      <c r="C40" s="95"/>
      <c r="D40" s="98"/>
      <c r="E40" s="87" t="e">
        <f t="shared" si="0"/>
        <v>#DIV/0!</v>
      </c>
    </row>
    <row r="41" spans="1:7" s="55" customFormat="1" ht="14.25" customHeight="1" x14ac:dyDescent="0.25">
      <c r="A41" s="92">
        <v>3236</v>
      </c>
      <c r="B41" s="93" t="s">
        <v>34</v>
      </c>
      <c r="C41" s="95">
        <v>35000</v>
      </c>
      <c r="D41" s="98">
        <v>35000</v>
      </c>
      <c r="E41" s="87">
        <f t="shared" si="0"/>
        <v>100</v>
      </c>
      <c r="F41" s="55">
        <v>0</v>
      </c>
      <c r="G41" s="55">
        <v>0</v>
      </c>
    </row>
    <row r="42" spans="1:7" s="55" customFormat="1" ht="14.25" customHeight="1" x14ac:dyDescent="0.25">
      <c r="A42" s="92">
        <v>3237</v>
      </c>
      <c r="B42" s="93" t="s">
        <v>35</v>
      </c>
      <c r="C42" s="95">
        <v>29774.68</v>
      </c>
      <c r="D42" s="98">
        <f>19000+10774.68</f>
        <v>29774.68</v>
      </c>
      <c r="E42" s="87">
        <f t="shared" si="0"/>
        <v>100</v>
      </c>
      <c r="F42" s="55">
        <v>0</v>
      </c>
      <c r="G42" s="55">
        <v>0</v>
      </c>
    </row>
    <row r="43" spans="1:7" s="55" customFormat="1" ht="14.25" customHeight="1" x14ac:dyDescent="0.25">
      <c r="A43" s="92">
        <v>3238</v>
      </c>
      <c r="B43" s="93" t="s">
        <v>36</v>
      </c>
      <c r="C43" s="95">
        <v>36000</v>
      </c>
      <c r="D43" s="98">
        <v>36000</v>
      </c>
      <c r="E43" s="87">
        <f t="shared" si="0"/>
        <v>100</v>
      </c>
    </row>
    <row r="44" spans="1:7" s="55" customFormat="1" ht="14.25" customHeight="1" x14ac:dyDescent="0.25">
      <c r="A44" s="92">
        <v>3239</v>
      </c>
      <c r="B44" s="93" t="s">
        <v>37</v>
      </c>
      <c r="C44" s="95">
        <v>231620.69</v>
      </c>
      <c r="D44" s="98">
        <f>142274+1141.22+88205.47</f>
        <v>231620.69</v>
      </c>
      <c r="E44" s="87">
        <f t="shared" si="0"/>
        <v>100</v>
      </c>
    </row>
    <row r="45" spans="1:7" s="55" customFormat="1" ht="14.25" customHeight="1" x14ac:dyDescent="0.25">
      <c r="A45" s="92"/>
      <c r="B45" s="93"/>
      <c r="C45" s="95"/>
      <c r="D45" s="98"/>
      <c r="E45" s="87"/>
    </row>
    <row r="46" spans="1:7" s="55" customFormat="1" ht="14.25" customHeight="1" x14ac:dyDescent="0.25">
      <c r="A46" s="92">
        <v>3241</v>
      </c>
      <c r="B46" s="93" t="s">
        <v>10</v>
      </c>
      <c r="C46" s="95"/>
      <c r="D46" s="101"/>
      <c r="E46" s="87" t="e">
        <f t="shared" si="0"/>
        <v>#DIV/0!</v>
      </c>
    </row>
    <row r="47" spans="1:7" s="110" customFormat="1" ht="14.25" customHeight="1" x14ac:dyDescent="0.25">
      <c r="A47" s="106">
        <v>329</v>
      </c>
      <c r="B47" s="111"/>
      <c r="C47" s="109">
        <f>C48+C49+C50+C51+C52+C53</f>
        <v>47838.23</v>
      </c>
      <c r="D47" s="109">
        <f>D48+D49+D50+D51+D52+D53</f>
        <v>47838.23</v>
      </c>
      <c r="E47" s="87">
        <f t="shared" si="0"/>
        <v>100</v>
      </c>
    </row>
    <row r="48" spans="1:7" s="55" customFormat="1" ht="14.25" customHeight="1" x14ac:dyDescent="0.25">
      <c r="A48" s="92">
        <v>3291</v>
      </c>
      <c r="B48" s="93" t="s">
        <v>38</v>
      </c>
      <c r="C48" s="95">
        <v>4186.68</v>
      </c>
      <c r="D48" s="112">
        <v>4186.68</v>
      </c>
      <c r="E48" s="87">
        <f t="shared" si="0"/>
        <v>100</v>
      </c>
    </row>
    <row r="49" spans="1:7" s="55" customFormat="1" ht="14.25" customHeight="1" x14ac:dyDescent="0.25">
      <c r="A49" s="92">
        <v>3292</v>
      </c>
      <c r="B49" s="93" t="s">
        <v>39</v>
      </c>
      <c r="C49" s="95">
        <v>24774</v>
      </c>
      <c r="D49" s="113">
        <v>24773.66</v>
      </c>
      <c r="E49" s="87">
        <f t="shared" si="0"/>
        <v>99.998627593444738</v>
      </c>
    </row>
    <row r="50" spans="1:7" s="55" customFormat="1" ht="14.25" customHeight="1" x14ac:dyDescent="0.25">
      <c r="A50" s="92">
        <v>3293</v>
      </c>
      <c r="B50" s="93" t="s">
        <v>40</v>
      </c>
      <c r="C50" s="95">
        <v>1746.83</v>
      </c>
      <c r="D50" s="113">
        <f>1000.34+746.83</f>
        <v>1747.17</v>
      </c>
      <c r="E50" s="87">
        <f t="shared" si="0"/>
        <v>100.01946382876412</v>
      </c>
      <c r="F50" s="55">
        <v>0</v>
      </c>
      <c r="G50" s="55">
        <v>0</v>
      </c>
    </row>
    <row r="51" spans="1:7" s="55" customFormat="1" ht="14.25" customHeight="1" x14ac:dyDescent="0.25">
      <c r="A51" s="92">
        <v>3294</v>
      </c>
      <c r="B51" s="93" t="s">
        <v>41</v>
      </c>
      <c r="C51" s="95">
        <v>1200</v>
      </c>
      <c r="D51" s="113">
        <v>1200</v>
      </c>
      <c r="E51" s="87">
        <f t="shared" si="0"/>
        <v>100</v>
      </c>
      <c r="F51" s="55">
        <v>0</v>
      </c>
      <c r="G51" s="55">
        <v>0</v>
      </c>
    </row>
    <row r="52" spans="1:7" s="55" customFormat="1" ht="14.25" customHeight="1" x14ac:dyDescent="0.25">
      <c r="A52" s="92">
        <v>3295</v>
      </c>
      <c r="B52" s="93" t="s">
        <v>42</v>
      </c>
      <c r="C52" s="95"/>
      <c r="D52" s="114"/>
      <c r="E52" s="87" t="e">
        <f t="shared" si="0"/>
        <v>#DIV/0!</v>
      </c>
    </row>
    <row r="53" spans="1:7" s="55" customFormat="1" ht="14.25" customHeight="1" x14ac:dyDescent="0.25">
      <c r="A53" s="92">
        <v>3299</v>
      </c>
      <c r="B53" s="93" t="s">
        <v>11</v>
      </c>
      <c r="C53" s="95">
        <v>15930.72</v>
      </c>
      <c r="D53" s="114">
        <f>14000+1930.72</f>
        <v>15930.72</v>
      </c>
      <c r="E53" s="87">
        <f t="shared" si="0"/>
        <v>100</v>
      </c>
    </row>
    <row r="54" spans="1:7" s="55" customFormat="1" ht="14.25" customHeight="1" x14ac:dyDescent="0.25">
      <c r="A54" s="92"/>
      <c r="B54" s="93"/>
      <c r="C54" s="95"/>
      <c r="D54" s="114"/>
      <c r="E54" s="87"/>
    </row>
    <row r="55" spans="1:7" s="55" customFormat="1" ht="15" x14ac:dyDescent="0.25">
      <c r="A55" s="92"/>
      <c r="B55" s="93"/>
      <c r="C55" s="95"/>
      <c r="D55" s="114"/>
      <c r="E55" s="87"/>
    </row>
    <row r="56" spans="1:7" s="110" customFormat="1" ht="15" x14ac:dyDescent="0.25">
      <c r="A56" s="106">
        <v>343</v>
      </c>
      <c r="B56" s="107" t="s">
        <v>53</v>
      </c>
      <c r="C56" s="109">
        <f>SUM(C57:C59)</f>
        <v>5400</v>
      </c>
      <c r="D56" s="109">
        <f t="shared" ref="D56" si="1">SUM(D57:D59)</f>
        <v>5400</v>
      </c>
      <c r="E56" s="87">
        <f t="shared" si="0"/>
        <v>100</v>
      </c>
    </row>
    <row r="57" spans="1:7" s="55" customFormat="1" ht="15" x14ac:dyDescent="0.25">
      <c r="A57" s="92">
        <v>3431</v>
      </c>
      <c r="B57" s="93" t="s">
        <v>43</v>
      </c>
      <c r="C57" s="95">
        <v>5000</v>
      </c>
      <c r="D57" s="114">
        <v>5041.72</v>
      </c>
      <c r="E57" s="87">
        <f t="shared" si="0"/>
        <v>100.83440000000002</v>
      </c>
    </row>
    <row r="58" spans="1:7" s="55" customFormat="1" ht="15" x14ac:dyDescent="0.25">
      <c r="A58" s="92">
        <v>3432</v>
      </c>
      <c r="B58" s="93" t="s">
        <v>44</v>
      </c>
      <c r="C58" s="95"/>
      <c r="D58" s="114"/>
      <c r="E58" s="87" t="e">
        <f t="shared" si="0"/>
        <v>#DIV/0!</v>
      </c>
    </row>
    <row r="59" spans="1:7" s="55" customFormat="1" ht="15" x14ac:dyDescent="0.25">
      <c r="A59" s="92">
        <v>3433</v>
      </c>
      <c r="B59" s="93" t="s">
        <v>45</v>
      </c>
      <c r="C59" s="95">
        <v>400</v>
      </c>
      <c r="D59" s="114">
        <v>358.28</v>
      </c>
      <c r="E59" s="87">
        <f t="shared" si="0"/>
        <v>89.57</v>
      </c>
    </row>
    <row r="60" spans="1:7" s="55" customFormat="1" ht="15" x14ac:dyDescent="0.25">
      <c r="A60" s="92"/>
      <c r="B60" s="93"/>
      <c r="C60" s="95"/>
      <c r="D60" s="114"/>
      <c r="E60" s="87"/>
    </row>
    <row r="61" spans="1:7" s="55" customFormat="1" ht="45" customHeight="1" x14ac:dyDescent="0.25">
      <c r="A61" s="115">
        <v>369</v>
      </c>
      <c r="B61" s="116" t="s">
        <v>124</v>
      </c>
      <c r="C61" s="117">
        <f t="shared" ref="C61:D61" si="2">C62</f>
        <v>0</v>
      </c>
      <c r="D61" s="117">
        <f t="shared" si="2"/>
        <v>0</v>
      </c>
      <c r="E61" s="87" t="e">
        <f t="shared" si="0"/>
        <v>#DIV/0!</v>
      </c>
    </row>
    <row r="62" spans="1:7" s="55" customFormat="1" ht="45" customHeight="1" x14ac:dyDescent="0.25">
      <c r="A62" s="92">
        <v>3693</v>
      </c>
      <c r="B62" s="118" t="s">
        <v>125</v>
      </c>
      <c r="C62" s="95"/>
      <c r="D62" s="114"/>
      <c r="E62" s="87"/>
    </row>
    <row r="63" spans="1:7" s="55" customFormat="1" ht="15" x14ac:dyDescent="0.25">
      <c r="A63" s="92"/>
      <c r="B63" s="93"/>
      <c r="C63" s="95"/>
      <c r="D63" s="114"/>
      <c r="E63" s="87"/>
    </row>
    <row r="64" spans="1:7" s="110" customFormat="1" ht="15" x14ac:dyDescent="0.25">
      <c r="A64" s="106">
        <v>372</v>
      </c>
      <c r="B64" s="119" t="s">
        <v>54</v>
      </c>
      <c r="C64" s="109">
        <f>C65</f>
        <v>395107.23</v>
      </c>
      <c r="D64" s="109">
        <f>D65</f>
        <v>395107.23</v>
      </c>
      <c r="E64" s="87">
        <f t="shared" si="0"/>
        <v>100</v>
      </c>
    </row>
    <row r="65" spans="1:5" s="55" customFormat="1" ht="15" x14ac:dyDescent="0.25">
      <c r="A65" s="92" t="s">
        <v>15</v>
      </c>
      <c r="B65" s="93" t="s">
        <v>46</v>
      </c>
      <c r="C65" s="95">
        <v>395107.23</v>
      </c>
      <c r="D65" s="114">
        <v>395107.23</v>
      </c>
      <c r="E65" s="87">
        <f t="shared" si="0"/>
        <v>100</v>
      </c>
    </row>
    <row r="66" spans="1:5" s="55" customFormat="1" ht="15" x14ac:dyDescent="0.25">
      <c r="A66" s="92"/>
      <c r="B66" s="93"/>
      <c r="C66" s="95"/>
      <c r="D66" s="114"/>
      <c r="E66" s="87"/>
    </row>
    <row r="67" spans="1:5" s="110" customFormat="1" ht="15" x14ac:dyDescent="0.25">
      <c r="A67" s="106">
        <v>422</v>
      </c>
      <c r="B67" s="119" t="s">
        <v>55</v>
      </c>
      <c r="C67" s="109">
        <f>SUM(C68:C72)</f>
        <v>69447.429999999993</v>
      </c>
      <c r="D67" s="109">
        <f>SUM(D68:D72)</f>
        <v>69447.429999999993</v>
      </c>
      <c r="E67" s="87">
        <f t="shared" si="0"/>
        <v>100</v>
      </c>
    </row>
    <row r="68" spans="1:5" s="55" customFormat="1" ht="15" x14ac:dyDescent="0.25">
      <c r="A68" s="92">
        <v>4221</v>
      </c>
      <c r="B68" s="97" t="s">
        <v>47</v>
      </c>
      <c r="C68" s="95">
        <v>49925.93</v>
      </c>
      <c r="D68" s="114">
        <v>49925.93</v>
      </c>
      <c r="E68" s="87">
        <f t="shared" si="0"/>
        <v>100</v>
      </c>
    </row>
    <row r="69" spans="1:5" s="55" customFormat="1" ht="15" x14ac:dyDescent="0.25">
      <c r="A69" s="92">
        <v>4222</v>
      </c>
      <c r="B69" s="97" t="s">
        <v>48</v>
      </c>
      <c r="C69" s="95"/>
      <c r="D69" s="114"/>
      <c r="E69" s="87" t="e">
        <f t="shared" si="0"/>
        <v>#DIV/0!</v>
      </c>
    </row>
    <row r="70" spans="1:5" s="55" customFormat="1" ht="15" x14ac:dyDescent="0.25">
      <c r="A70" s="92">
        <v>4223</v>
      </c>
      <c r="B70" s="97" t="s">
        <v>49</v>
      </c>
      <c r="C70" s="95">
        <v>6340</v>
      </c>
      <c r="D70" s="114">
        <v>6340</v>
      </c>
      <c r="E70" s="87">
        <f t="shared" si="0"/>
        <v>100</v>
      </c>
    </row>
    <row r="71" spans="1:5" s="55" customFormat="1" ht="15" x14ac:dyDescent="0.25">
      <c r="A71" s="92">
        <v>4226</v>
      </c>
      <c r="B71" s="97" t="s">
        <v>50</v>
      </c>
      <c r="C71" s="95"/>
      <c r="D71" s="114"/>
      <c r="E71" s="87" t="e">
        <f t="shared" si="0"/>
        <v>#DIV/0!</v>
      </c>
    </row>
    <row r="72" spans="1:5" s="55" customFormat="1" ht="30" x14ac:dyDescent="0.25">
      <c r="A72" s="92">
        <v>4227</v>
      </c>
      <c r="B72" s="120" t="s">
        <v>51</v>
      </c>
      <c r="C72" s="95">
        <v>13181.5</v>
      </c>
      <c r="D72" s="96">
        <v>13181.5</v>
      </c>
      <c r="E72" s="87">
        <f t="shared" si="0"/>
        <v>100</v>
      </c>
    </row>
    <row r="73" spans="1:5" s="55" customFormat="1" ht="15" x14ac:dyDescent="0.25">
      <c r="A73" s="92"/>
      <c r="B73" s="120"/>
      <c r="C73" s="95"/>
      <c r="D73" s="114"/>
      <c r="E73" s="87"/>
    </row>
    <row r="74" spans="1:5" s="55" customFormat="1" ht="15" x14ac:dyDescent="0.25">
      <c r="A74" s="92">
        <v>4241</v>
      </c>
      <c r="B74" s="97" t="s">
        <v>52</v>
      </c>
      <c r="C74" s="105">
        <v>3251.36</v>
      </c>
      <c r="D74" s="123">
        <v>3249.05</v>
      </c>
      <c r="E74" s="87">
        <f t="shared" si="0"/>
        <v>99.928952807440581</v>
      </c>
    </row>
    <row r="75" spans="1:5" s="55" customFormat="1" ht="15" x14ac:dyDescent="0.25">
      <c r="A75" s="102">
        <v>45</v>
      </c>
      <c r="B75" s="103" t="s">
        <v>13</v>
      </c>
      <c r="C75" s="105">
        <f>SUM(C76:C77)</f>
        <v>297301.21000000002</v>
      </c>
      <c r="D75" s="105">
        <f>SUM(D76:D77)</f>
        <v>297301.21000000002</v>
      </c>
      <c r="E75" s="87">
        <f t="shared" si="0"/>
        <v>100</v>
      </c>
    </row>
    <row r="76" spans="1:5" s="55" customFormat="1" ht="15" x14ac:dyDescent="0.25">
      <c r="A76" s="92">
        <v>4511</v>
      </c>
      <c r="B76" s="97" t="s">
        <v>12</v>
      </c>
      <c r="C76" s="95">
        <v>297301.21000000002</v>
      </c>
      <c r="D76" s="114">
        <v>297301.21000000002</v>
      </c>
      <c r="E76" s="87">
        <f t="shared" si="0"/>
        <v>100</v>
      </c>
    </row>
    <row r="77" spans="1:5" s="55" customFormat="1" ht="15" x14ac:dyDescent="0.25">
      <c r="A77" s="124">
        <v>4521</v>
      </c>
      <c r="B77" s="125" t="s">
        <v>14</v>
      </c>
      <c r="C77" s="127"/>
      <c r="D77" s="114"/>
      <c r="E77" s="87" t="e">
        <f t="shared" si="0"/>
        <v>#DIV/0!</v>
      </c>
    </row>
    <row r="78" spans="1:5" s="55" customFormat="1" ht="15" x14ac:dyDescent="0.25">
      <c r="A78" s="128"/>
      <c r="B78" s="129" t="s">
        <v>2</v>
      </c>
      <c r="C78" s="130">
        <f>SUM(C17:C19)+SUM(C24:C27)+SUM(C29:C34)+SUM(C36:C44)+SUM(C48:C53)+SUM(C57:C59)+C65+SUM(C68:C72)+C74+SUM(C76:C77)+C46</f>
        <v>3252340.1199999996</v>
      </c>
      <c r="D78" s="130">
        <f>SUM(D17:D19)+SUM(D24:D27)+SUM(D29:D34)+SUM(D36:D44)+SUM(D48:D53)+SUM(D57:D59)+D65+SUM(D68:D72)+D74+SUM(D76:D77)</f>
        <v>3250094.6</v>
      </c>
      <c r="E78" s="87">
        <f t="shared" si="0"/>
        <v>99.930956790583153</v>
      </c>
    </row>
    <row r="79" spans="1:5" s="55" customFormat="1" ht="15" x14ac:dyDescent="0.25">
      <c r="A79" s="131"/>
      <c r="B79" s="132" t="s">
        <v>3</v>
      </c>
      <c r="C79" s="130">
        <f>C15+C22+C56+C64+C67+C74+C75+C46</f>
        <v>3252340.1199999996</v>
      </c>
      <c r="D79" s="130">
        <f>D15+D22+D56+D64+D67+D74+D75</f>
        <v>3250094.5999999996</v>
      </c>
      <c r="E79" s="87">
        <f t="shared" si="0"/>
        <v>99.930956790583153</v>
      </c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zoomScale="150" zoomScaleNormal="150" workbookViewId="0">
      <pane xSplit="1" topLeftCell="B1" activePane="topRight" state="frozen"/>
      <selection activeCell="K22" sqref="K22"/>
      <selection pane="topRight" activeCell="D58" sqref="D58"/>
    </sheetView>
  </sheetViews>
  <sheetFormatPr defaultRowHeight="14.25" x14ac:dyDescent="0.2"/>
  <cols>
    <col min="1" max="1" width="11.140625" style="4" customWidth="1"/>
    <col min="2" max="2" width="29" style="5" customWidth="1"/>
    <col min="3" max="3" width="18.7109375" style="2" customWidth="1"/>
    <col min="4" max="4" width="19.85546875" style="1" customWidth="1"/>
    <col min="5" max="5" width="13.42578125" style="1" customWidth="1"/>
    <col min="6" max="7" width="0" style="1" hidden="1" customWidth="1"/>
    <col min="8" max="8" width="10.42578125" style="1" customWidth="1"/>
    <col min="9" max="16384" width="9.140625" style="1"/>
  </cols>
  <sheetData>
    <row r="1" spans="1:8" s="55" customFormat="1" ht="15" x14ac:dyDescent="0.25">
      <c r="A1" s="54"/>
      <c r="B1" s="216"/>
      <c r="C1" s="216"/>
      <c r="D1" s="216"/>
      <c r="E1" s="216"/>
    </row>
    <row r="2" spans="1:8" s="55" customFormat="1" ht="24.75" customHeight="1" x14ac:dyDescent="0.35">
      <c r="A2" s="217" t="s">
        <v>123</v>
      </c>
      <c r="B2" s="218"/>
      <c r="C2" s="218"/>
      <c r="D2" s="218"/>
      <c r="E2" s="218"/>
      <c r="F2" s="56"/>
      <c r="G2" s="56"/>
      <c r="H2" s="56"/>
    </row>
    <row r="3" spans="1:8" s="55" customFormat="1" ht="20.25" customHeight="1" x14ac:dyDescent="0.25">
      <c r="A3" s="56"/>
      <c r="B3" s="219" t="s">
        <v>126</v>
      </c>
      <c r="C3" s="219"/>
      <c r="D3" s="219"/>
      <c r="E3" s="219"/>
      <c r="F3" s="56"/>
      <c r="G3" s="56"/>
      <c r="H3" s="56"/>
    </row>
    <row r="4" spans="1:8" s="55" customFormat="1" ht="20.25" customHeight="1" x14ac:dyDescent="0.25">
      <c r="A4" s="56"/>
      <c r="B4" s="56"/>
      <c r="C4" s="57"/>
      <c r="D4" s="56"/>
      <c r="E4" s="56"/>
      <c r="F4" s="56"/>
      <c r="G4" s="56"/>
      <c r="H4" s="56"/>
    </row>
    <row r="5" spans="1:8" s="55" customFormat="1" ht="18" customHeight="1" x14ac:dyDescent="0.3">
      <c r="A5" s="58" t="s">
        <v>5</v>
      </c>
      <c r="B5" s="59"/>
      <c r="C5" s="78"/>
      <c r="D5" s="59"/>
      <c r="E5" s="79"/>
    </row>
    <row r="6" spans="1:8" s="55" customFormat="1" ht="15" customHeight="1" x14ac:dyDescent="0.25">
      <c r="A6" s="63" t="s">
        <v>56</v>
      </c>
      <c r="C6" s="80"/>
      <c r="E6" s="77"/>
    </row>
    <row r="7" spans="1:8" s="55" customFormat="1" ht="16.5" customHeight="1" x14ac:dyDescent="0.25">
      <c r="A7" s="67"/>
      <c r="C7" s="80"/>
      <c r="E7" s="77"/>
    </row>
    <row r="8" spans="1:8" s="138" customFormat="1" ht="16.5" customHeight="1" x14ac:dyDescent="0.25">
      <c r="A8" s="137" t="s">
        <v>153</v>
      </c>
      <c r="C8" s="139"/>
      <c r="E8" s="140"/>
    </row>
    <row r="9" spans="1:8" s="138" customFormat="1" ht="16.5" customHeight="1" x14ac:dyDescent="0.25">
      <c r="A9" s="137" t="s">
        <v>176</v>
      </c>
      <c r="C9" s="139"/>
      <c r="E9" s="140"/>
    </row>
    <row r="10" spans="1:8" s="55" customFormat="1" ht="16.5" customHeight="1" x14ac:dyDescent="0.25">
      <c r="A10" s="67" t="s">
        <v>175</v>
      </c>
      <c r="C10" s="80"/>
      <c r="E10" s="77"/>
    </row>
    <row r="11" spans="1:8" s="55" customFormat="1" ht="8.25" customHeight="1" x14ac:dyDescent="0.25">
      <c r="A11" s="71"/>
      <c r="B11" s="71"/>
      <c r="C11" s="81"/>
      <c r="D11" s="71"/>
      <c r="E11" s="82"/>
    </row>
    <row r="12" spans="1:8" s="55" customFormat="1" ht="15.75" customHeight="1" x14ac:dyDescent="0.25">
      <c r="A12" s="71"/>
      <c r="B12" s="71">
        <v>1</v>
      </c>
      <c r="C12" s="83">
        <v>2</v>
      </c>
      <c r="D12" s="84" t="s">
        <v>128</v>
      </c>
      <c r="E12" s="84" t="s">
        <v>89</v>
      </c>
      <c r="F12" s="71"/>
      <c r="G12" s="71"/>
    </row>
    <row r="13" spans="1:8" s="77" customFormat="1" ht="43.5" x14ac:dyDescent="0.25">
      <c r="A13" s="72" t="s">
        <v>4</v>
      </c>
      <c r="B13" s="72" t="s">
        <v>58</v>
      </c>
      <c r="C13" s="73" t="s">
        <v>86</v>
      </c>
      <c r="D13" s="72" t="s">
        <v>127</v>
      </c>
      <c r="E13" s="75" t="s">
        <v>129</v>
      </c>
      <c r="F13" s="76" t="s">
        <v>0</v>
      </c>
      <c r="G13" s="76" t="s">
        <v>1</v>
      </c>
    </row>
    <row r="14" spans="1:8" s="55" customFormat="1" ht="14.25" customHeight="1" x14ac:dyDescent="0.25">
      <c r="A14" s="85">
        <v>3</v>
      </c>
      <c r="B14" s="85" t="s">
        <v>16</v>
      </c>
      <c r="C14" s="86"/>
      <c r="D14" s="87"/>
      <c r="E14" s="87"/>
      <c r="F14" s="88">
        <f>SUM(F15:F21)</f>
        <v>0</v>
      </c>
      <c r="G14" s="88">
        <f>SUM(G15:G21)</f>
        <v>0</v>
      </c>
    </row>
    <row r="15" spans="1:8" s="55" customFormat="1" ht="14.25" customHeight="1" x14ac:dyDescent="0.25">
      <c r="A15" s="89">
        <v>31</v>
      </c>
      <c r="B15" s="89" t="s">
        <v>6</v>
      </c>
      <c r="C15" s="91">
        <f>SUM(C17:C19)</f>
        <v>1500</v>
      </c>
      <c r="D15" s="91">
        <f>SUM(D17:D19)</f>
        <v>1500</v>
      </c>
      <c r="E15" s="87">
        <f>D15/C15*100</f>
        <v>100</v>
      </c>
      <c r="F15" s="55">
        <v>0</v>
      </c>
      <c r="G15" s="55">
        <v>0</v>
      </c>
    </row>
    <row r="16" spans="1:8" s="55" customFormat="1" ht="14.25" customHeight="1" x14ac:dyDescent="0.25">
      <c r="A16" s="92">
        <v>311</v>
      </c>
      <c r="B16" s="93" t="s">
        <v>7</v>
      </c>
      <c r="C16" s="95"/>
      <c r="D16" s="96"/>
      <c r="E16" s="87"/>
      <c r="F16" s="55">
        <v>0</v>
      </c>
      <c r="G16" s="55">
        <v>0</v>
      </c>
    </row>
    <row r="17" spans="1:7" s="55" customFormat="1" ht="14.25" customHeight="1" x14ac:dyDescent="0.25">
      <c r="A17" s="92">
        <v>3111</v>
      </c>
      <c r="B17" s="97" t="s">
        <v>17</v>
      </c>
      <c r="C17" s="95"/>
      <c r="D17" s="96"/>
      <c r="E17" s="87" t="e">
        <f t="shared" ref="E17:E79" si="0">D17/C17*100</f>
        <v>#DIV/0!</v>
      </c>
      <c r="F17" s="55">
        <v>0</v>
      </c>
      <c r="G17" s="55">
        <v>0</v>
      </c>
    </row>
    <row r="18" spans="1:7" s="55" customFormat="1" ht="14.25" customHeight="1" x14ac:dyDescent="0.25">
      <c r="A18" s="92">
        <v>3121</v>
      </c>
      <c r="B18" s="93" t="s">
        <v>8</v>
      </c>
      <c r="C18" s="95">
        <v>1500</v>
      </c>
      <c r="D18" s="96">
        <v>1500</v>
      </c>
      <c r="E18" s="87">
        <f t="shared" si="0"/>
        <v>100</v>
      </c>
    </row>
    <row r="19" spans="1:7" s="55" customFormat="1" ht="14.25" customHeight="1" x14ac:dyDescent="0.25">
      <c r="A19" s="92">
        <v>3132</v>
      </c>
      <c r="B19" s="93" t="s">
        <v>18</v>
      </c>
      <c r="C19" s="95"/>
      <c r="D19" s="98"/>
      <c r="E19" s="87" t="e">
        <f t="shared" si="0"/>
        <v>#DIV/0!</v>
      </c>
    </row>
    <row r="20" spans="1:7" s="55" customFormat="1" ht="14.25" customHeight="1" x14ac:dyDescent="0.25">
      <c r="A20" s="92"/>
      <c r="B20" s="93"/>
      <c r="C20" s="95"/>
      <c r="D20" s="98"/>
      <c r="E20" s="87"/>
      <c r="F20" s="55">
        <v>0</v>
      </c>
      <c r="G20" s="55">
        <v>0</v>
      </c>
    </row>
    <row r="21" spans="1:7" s="55" customFormat="1" ht="14.25" customHeight="1" x14ac:dyDescent="0.25">
      <c r="A21" s="92"/>
      <c r="B21" s="99"/>
      <c r="C21" s="95"/>
      <c r="D21" s="101"/>
      <c r="E21" s="87"/>
      <c r="F21" s="55">
        <v>0</v>
      </c>
      <c r="G21" s="55">
        <v>0</v>
      </c>
    </row>
    <row r="22" spans="1:7" s="55" customFormat="1" ht="20.100000000000001" customHeight="1" x14ac:dyDescent="0.25">
      <c r="A22" s="102">
        <v>32</v>
      </c>
      <c r="B22" s="103" t="s">
        <v>9</v>
      </c>
      <c r="C22" s="105">
        <f>SUM(C23+C28+C35+C47)</f>
        <v>15032.4</v>
      </c>
      <c r="D22" s="105">
        <f>SUM(D23+D28+D35+D47)</f>
        <v>874.97</v>
      </c>
      <c r="E22" s="87">
        <f t="shared" si="0"/>
        <v>5.8205609217423699</v>
      </c>
    </row>
    <row r="23" spans="1:7" s="110" customFormat="1" ht="20.100000000000001" customHeight="1" x14ac:dyDescent="0.25">
      <c r="A23" s="106">
        <v>321</v>
      </c>
      <c r="B23" s="107"/>
      <c r="C23" s="109">
        <f>C24+C25+C26+C27</f>
        <v>1082.4000000000001</v>
      </c>
      <c r="D23" s="109">
        <f>D24+D25+D26+D27</f>
        <v>0</v>
      </c>
      <c r="E23" s="87">
        <f t="shared" si="0"/>
        <v>0</v>
      </c>
    </row>
    <row r="24" spans="1:7" s="55" customFormat="1" ht="14.25" customHeight="1" x14ac:dyDescent="0.25">
      <c r="A24" s="92">
        <v>3211</v>
      </c>
      <c r="B24" s="93" t="s">
        <v>19</v>
      </c>
      <c r="C24" s="95">
        <v>1000</v>
      </c>
      <c r="D24" s="98"/>
      <c r="E24" s="87">
        <f t="shared" si="0"/>
        <v>0</v>
      </c>
    </row>
    <row r="25" spans="1:7" s="55" customFormat="1" ht="14.25" customHeight="1" x14ac:dyDescent="0.25">
      <c r="A25" s="92">
        <v>3212</v>
      </c>
      <c r="B25" s="93" t="s">
        <v>20</v>
      </c>
      <c r="C25" s="95"/>
      <c r="D25" s="98"/>
      <c r="E25" s="87" t="e">
        <f t="shared" si="0"/>
        <v>#DIV/0!</v>
      </c>
    </row>
    <row r="26" spans="1:7" s="55" customFormat="1" ht="14.25" customHeight="1" x14ac:dyDescent="0.25">
      <c r="A26" s="92">
        <v>3213</v>
      </c>
      <c r="B26" s="93" t="s">
        <v>21</v>
      </c>
      <c r="C26" s="95"/>
      <c r="D26" s="98"/>
      <c r="E26" s="87" t="e">
        <f t="shared" si="0"/>
        <v>#DIV/0!</v>
      </c>
    </row>
    <row r="27" spans="1:7" s="55" customFormat="1" ht="14.25" customHeight="1" x14ac:dyDescent="0.25">
      <c r="A27" s="92">
        <v>3214</v>
      </c>
      <c r="B27" s="93" t="s">
        <v>22</v>
      </c>
      <c r="C27" s="95">
        <v>82.4</v>
      </c>
      <c r="D27" s="98"/>
      <c r="E27" s="87">
        <f t="shared" si="0"/>
        <v>0</v>
      </c>
    </row>
    <row r="28" spans="1:7" s="110" customFormat="1" ht="14.25" customHeight="1" x14ac:dyDescent="0.25">
      <c r="A28" s="106">
        <v>322</v>
      </c>
      <c r="B28" s="111"/>
      <c r="C28" s="109">
        <f>C29+C30+C31+C32+C33+C34</f>
        <v>8000</v>
      </c>
      <c r="D28" s="109">
        <f>D29+D30+D31+D32+D33+D34</f>
        <v>0</v>
      </c>
      <c r="E28" s="87">
        <f t="shared" si="0"/>
        <v>0</v>
      </c>
    </row>
    <row r="29" spans="1:7" s="55" customFormat="1" ht="14.25" customHeight="1" x14ac:dyDescent="0.25">
      <c r="A29" s="92">
        <v>3221</v>
      </c>
      <c r="B29" s="93" t="s">
        <v>23</v>
      </c>
      <c r="C29" s="95">
        <v>8000</v>
      </c>
      <c r="D29" s="98"/>
      <c r="E29" s="87">
        <f t="shared" si="0"/>
        <v>0</v>
      </c>
    </row>
    <row r="30" spans="1:7" s="55" customFormat="1" ht="14.25" customHeight="1" x14ac:dyDescent="0.25">
      <c r="A30" s="92">
        <v>3222</v>
      </c>
      <c r="B30" s="93" t="s">
        <v>24</v>
      </c>
      <c r="C30" s="95"/>
      <c r="D30" s="98"/>
      <c r="E30" s="87" t="e">
        <f>D30/C30*100</f>
        <v>#DIV/0!</v>
      </c>
    </row>
    <row r="31" spans="1:7" s="55" customFormat="1" ht="14.25" customHeight="1" x14ac:dyDescent="0.25">
      <c r="A31" s="92">
        <v>3223</v>
      </c>
      <c r="B31" s="93" t="s">
        <v>25</v>
      </c>
      <c r="C31" s="95"/>
      <c r="D31" s="98"/>
      <c r="E31" s="87" t="e">
        <f t="shared" si="0"/>
        <v>#DIV/0!</v>
      </c>
      <c r="F31" s="55">
        <v>0</v>
      </c>
      <c r="G31" s="55">
        <v>0</v>
      </c>
    </row>
    <row r="32" spans="1:7" s="55" customFormat="1" ht="14.25" customHeight="1" x14ac:dyDescent="0.25">
      <c r="A32" s="92">
        <v>3224</v>
      </c>
      <c r="B32" s="93" t="s">
        <v>26</v>
      </c>
      <c r="C32" s="95"/>
      <c r="D32" s="98"/>
      <c r="E32" s="87" t="e">
        <f t="shared" si="0"/>
        <v>#DIV/0!</v>
      </c>
      <c r="F32" s="55">
        <v>0</v>
      </c>
      <c r="G32" s="55">
        <v>0</v>
      </c>
    </row>
    <row r="33" spans="1:7" s="55" customFormat="1" ht="14.25" customHeight="1" x14ac:dyDescent="0.25">
      <c r="A33" s="92">
        <v>3225</v>
      </c>
      <c r="B33" s="93" t="s">
        <v>27</v>
      </c>
      <c r="C33" s="95"/>
      <c r="D33" s="98"/>
      <c r="E33" s="87" t="e">
        <f t="shared" si="0"/>
        <v>#DIV/0!</v>
      </c>
    </row>
    <row r="34" spans="1:7" s="55" customFormat="1" ht="14.25" customHeight="1" x14ac:dyDescent="0.25">
      <c r="A34" s="92">
        <v>3227</v>
      </c>
      <c r="B34" s="93" t="s">
        <v>28</v>
      </c>
      <c r="C34" s="95"/>
      <c r="D34" s="98"/>
      <c r="E34" s="87" t="e">
        <f t="shared" si="0"/>
        <v>#DIV/0!</v>
      </c>
    </row>
    <row r="35" spans="1:7" s="110" customFormat="1" ht="14.25" customHeight="1" x14ac:dyDescent="0.25">
      <c r="A35" s="106">
        <v>323</v>
      </c>
      <c r="B35" s="111"/>
      <c r="C35" s="109">
        <f>C36+C37+C38+C39+C40+C41+C42+C43+C44</f>
        <v>5000</v>
      </c>
      <c r="D35" s="109">
        <f>D36+D37+D38+D39+D40+D41+D42+D43+D44</f>
        <v>874.97</v>
      </c>
      <c r="E35" s="87">
        <f t="shared" si="0"/>
        <v>17.499400000000001</v>
      </c>
    </row>
    <row r="36" spans="1:7" s="55" customFormat="1" ht="14.25" customHeight="1" x14ac:dyDescent="0.25">
      <c r="A36" s="92">
        <v>3231</v>
      </c>
      <c r="B36" s="93" t="s">
        <v>29</v>
      </c>
      <c r="C36" s="95"/>
      <c r="D36" s="98"/>
      <c r="E36" s="87" t="e">
        <f t="shared" si="0"/>
        <v>#DIV/0!</v>
      </c>
    </row>
    <row r="37" spans="1:7" s="55" customFormat="1" ht="14.25" customHeight="1" x14ac:dyDescent="0.25">
      <c r="A37" s="92">
        <v>3232</v>
      </c>
      <c r="B37" s="93" t="s">
        <v>30</v>
      </c>
      <c r="C37" s="95"/>
      <c r="D37" s="98"/>
      <c r="E37" s="87" t="e">
        <f t="shared" si="0"/>
        <v>#DIV/0!</v>
      </c>
    </row>
    <row r="38" spans="1:7" s="55" customFormat="1" ht="14.25" customHeight="1" x14ac:dyDescent="0.25">
      <c r="A38" s="92">
        <v>3233</v>
      </c>
      <c r="B38" s="93" t="s">
        <v>31</v>
      </c>
      <c r="C38" s="95"/>
      <c r="D38" s="98"/>
      <c r="E38" s="87" t="e">
        <f t="shared" si="0"/>
        <v>#DIV/0!</v>
      </c>
    </row>
    <row r="39" spans="1:7" s="55" customFormat="1" ht="14.25" customHeight="1" x14ac:dyDescent="0.25">
      <c r="A39" s="92">
        <v>3234</v>
      </c>
      <c r="B39" s="93" t="s">
        <v>32</v>
      </c>
      <c r="C39" s="95"/>
      <c r="D39" s="98"/>
      <c r="E39" s="87" t="e">
        <f t="shared" si="0"/>
        <v>#DIV/0!</v>
      </c>
    </row>
    <row r="40" spans="1:7" s="55" customFormat="1" ht="14.25" customHeight="1" x14ac:dyDescent="0.25">
      <c r="A40" s="92">
        <v>3235</v>
      </c>
      <c r="B40" s="93" t="s">
        <v>33</v>
      </c>
      <c r="C40" s="95"/>
      <c r="D40" s="98"/>
      <c r="E40" s="87" t="e">
        <f t="shared" si="0"/>
        <v>#DIV/0!</v>
      </c>
    </row>
    <row r="41" spans="1:7" s="55" customFormat="1" ht="14.25" customHeight="1" x14ac:dyDescent="0.25">
      <c r="A41" s="92">
        <v>3236</v>
      </c>
      <c r="B41" s="93" t="s">
        <v>34</v>
      </c>
      <c r="C41" s="95"/>
      <c r="D41" s="98"/>
      <c r="E41" s="87" t="e">
        <f t="shared" si="0"/>
        <v>#DIV/0!</v>
      </c>
      <c r="F41" s="55">
        <v>0</v>
      </c>
      <c r="G41" s="55">
        <v>0</v>
      </c>
    </row>
    <row r="42" spans="1:7" s="55" customFormat="1" ht="14.25" customHeight="1" x14ac:dyDescent="0.25">
      <c r="A42" s="92">
        <v>3237</v>
      </c>
      <c r="B42" s="93" t="s">
        <v>35</v>
      </c>
      <c r="C42" s="95"/>
      <c r="D42" s="98"/>
      <c r="E42" s="87" t="e">
        <f t="shared" si="0"/>
        <v>#DIV/0!</v>
      </c>
      <c r="F42" s="55">
        <v>0</v>
      </c>
      <c r="G42" s="55">
        <v>0</v>
      </c>
    </row>
    <row r="43" spans="1:7" s="55" customFormat="1" ht="14.25" customHeight="1" x14ac:dyDescent="0.25">
      <c r="A43" s="92">
        <v>3238</v>
      </c>
      <c r="B43" s="93" t="s">
        <v>36</v>
      </c>
      <c r="C43" s="95"/>
      <c r="D43" s="98"/>
      <c r="E43" s="87" t="e">
        <f t="shared" si="0"/>
        <v>#DIV/0!</v>
      </c>
    </row>
    <row r="44" spans="1:7" s="55" customFormat="1" ht="14.25" customHeight="1" x14ac:dyDescent="0.25">
      <c r="A44" s="92">
        <v>3239</v>
      </c>
      <c r="B44" s="93" t="s">
        <v>37</v>
      </c>
      <c r="C44" s="95">
        <v>5000</v>
      </c>
      <c r="D44" s="98">
        <f>874.97</f>
        <v>874.97</v>
      </c>
      <c r="E44" s="87">
        <f t="shared" si="0"/>
        <v>17.499400000000001</v>
      </c>
    </row>
    <row r="45" spans="1:7" s="55" customFormat="1" ht="14.25" customHeight="1" x14ac:dyDescent="0.25">
      <c r="A45" s="92"/>
      <c r="B45" s="93"/>
      <c r="C45" s="95"/>
      <c r="D45" s="98"/>
      <c r="E45" s="87"/>
    </row>
    <row r="46" spans="1:7" s="55" customFormat="1" ht="14.25" customHeight="1" x14ac:dyDescent="0.25">
      <c r="A46" s="92">
        <v>3241</v>
      </c>
      <c r="B46" s="93" t="s">
        <v>10</v>
      </c>
      <c r="C46" s="95"/>
      <c r="D46" s="101"/>
      <c r="E46" s="87" t="e">
        <f t="shared" si="0"/>
        <v>#DIV/0!</v>
      </c>
    </row>
    <row r="47" spans="1:7" s="110" customFormat="1" ht="14.25" customHeight="1" x14ac:dyDescent="0.25">
      <c r="A47" s="106">
        <v>329</v>
      </c>
      <c r="B47" s="111"/>
      <c r="C47" s="109">
        <f>C48+C49+C50+C51+C52+C53</f>
        <v>950</v>
      </c>
      <c r="D47" s="109">
        <f>D48+D49+D50+D51+D52+D53</f>
        <v>0</v>
      </c>
      <c r="E47" s="87">
        <f t="shared" si="0"/>
        <v>0</v>
      </c>
    </row>
    <row r="48" spans="1:7" s="55" customFormat="1" ht="14.25" customHeight="1" x14ac:dyDescent="0.25">
      <c r="A48" s="92">
        <v>3291</v>
      </c>
      <c r="B48" s="93" t="s">
        <v>38</v>
      </c>
      <c r="C48" s="95"/>
      <c r="D48" s="112"/>
      <c r="E48" s="87" t="e">
        <f t="shared" si="0"/>
        <v>#DIV/0!</v>
      </c>
    </row>
    <row r="49" spans="1:7" s="55" customFormat="1" ht="14.25" customHeight="1" x14ac:dyDescent="0.25">
      <c r="A49" s="92">
        <v>3292</v>
      </c>
      <c r="B49" s="93" t="s">
        <v>39</v>
      </c>
      <c r="C49" s="95"/>
      <c r="D49" s="113"/>
      <c r="E49" s="87" t="e">
        <f t="shared" si="0"/>
        <v>#DIV/0!</v>
      </c>
    </row>
    <row r="50" spans="1:7" s="55" customFormat="1" ht="14.25" customHeight="1" x14ac:dyDescent="0.25">
      <c r="A50" s="92">
        <v>3293</v>
      </c>
      <c r="B50" s="93" t="s">
        <v>40</v>
      </c>
      <c r="C50" s="95"/>
      <c r="D50" s="113"/>
      <c r="E50" s="87" t="e">
        <f t="shared" si="0"/>
        <v>#DIV/0!</v>
      </c>
      <c r="F50" s="55">
        <v>0</v>
      </c>
      <c r="G50" s="55">
        <v>0</v>
      </c>
    </row>
    <row r="51" spans="1:7" s="55" customFormat="1" ht="14.25" customHeight="1" x14ac:dyDescent="0.25">
      <c r="A51" s="92">
        <v>3294</v>
      </c>
      <c r="B51" s="93" t="s">
        <v>41</v>
      </c>
      <c r="C51" s="95"/>
      <c r="D51" s="113"/>
      <c r="E51" s="87" t="e">
        <f t="shared" si="0"/>
        <v>#DIV/0!</v>
      </c>
      <c r="F51" s="55">
        <v>0</v>
      </c>
      <c r="G51" s="55">
        <v>0</v>
      </c>
    </row>
    <row r="52" spans="1:7" s="55" customFormat="1" ht="14.25" customHeight="1" x14ac:dyDescent="0.25">
      <c r="A52" s="92">
        <v>3295</v>
      </c>
      <c r="B52" s="93" t="s">
        <v>42</v>
      </c>
      <c r="C52" s="95"/>
      <c r="D52" s="114"/>
      <c r="E52" s="87" t="e">
        <f t="shared" si="0"/>
        <v>#DIV/0!</v>
      </c>
    </row>
    <row r="53" spans="1:7" s="55" customFormat="1" ht="14.25" customHeight="1" x14ac:dyDescent="0.25">
      <c r="A53" s="92">
        <v>3299</v>
      </c>
      <c r="B53" s="93" t="s">
        <v>11</v>
      </c>
      <c r="C53" s="95">
        <v>950</v>
      </c>
      <c r="D53" s="114"/>
      <c r="E53" s="87">
        <f t="shared" si="0"/>
        <v>0</v>
      </c>
    </row>
    <row r="54" spans="1:7" s="55" customFormat="1" ht="14.25" customHeight="1" x14ac:dyDescent="0.25">
      <c r="A54" s="92"/>
      <c r="B54" s="93"/>
      <c r="C54" s="95"/>
      <c r="D54" s="114"/>
      <c r="E54" s="87"/>
    </row>
    <row r="55" spans="1:7" s="55" customFormat="1" ht="15" x14ac:dyDescent="0.25">
      <c r="A55" s="92"/>
      <c r="B55" s="93"/>
      <c r="C55" s="95"/>
      <c r="D55" s="114"/>
      <c r="E55" s="87"/>
    </row>
    <row r="56" spans="1:7" s="110" customFormat="1" ht="15" x14ac:dyDescent="0.25">
      <c r="A56" s="106">
        <v>343</v>
      </c>
      <c r="B56" s="107" t="s">
        <v>53</v>
      </c>
      <c r="C56" s="109">
        <f>SUM(C57:C59)</f>
        <v>10</v>
      </c>
      <c r="D56" s="109">
        <f t="shared" ref="D56" si="1">SUM(D57:D59)</f>
        <v>0.39</v>
      </c>
      <c r="E56" s="87">
        <f t="shared" si="0"/>
        <v>3.9</v>
      </c>
    </row>
    <row r="57" spans="1:7" s="55" customFormat="1" ht="15" x14ac:dyDescent="0.25">
      <c r="A57" s="92">
        <v>3431</v>
      </c>
      <c r="B57" s="93" t="s">
        <v>43</v>
      </c>
      <c r="C57" s="95">
        <v>10</v>
      </c>
      <c r="D57" s="114">
        <v>0.39</v>
      </c>
      <c r="E57" s="87">
        <f t="shared" si="0"/>
        <v>3.9</v>
      </c>
    </row>
    <row r="58" spans="1:7" s="55" customFormat="1" ht="15" x14ac:dyDescent="0.25">
      <c r="A58" s="92">
        <v>3432</v>
      </c>
      <c r="B58" s="93" t="s">
        <v>44</v>
      </c>
      <c r="C58" s="95"/>
      <c r="D58" s="114"/>
      <c r="E58" s="87" t="e">
        <f t="shared" si="0"/>
        <v>#DIV/0!</v>
      </c>
    </row>
    <row r="59" spans="1:7" s="55" customFormat="1" ht="15" x14ac:dyDescent="0.25">
      <c r="A59" s="92">
        <v>3433</v>
      </c>
      <c r="B59" s="93" t="s">
        <v>45</v>
      </c>
      <c r="C59" s="95"/>
      <c r="D59" s="114"/>
      <c r="E59" s="87" t="e">
        <f t="shared" si="0"/>
        <v>#DIV/0!</v>
      </c>
    </row>
    <row r="60" spans="1:7" s="55" customFormat="1" ht="15" x14ac:dyDescent="0.25">
      <c r="A60" s="92"/>
      <c r="B60" s="93"/>
      <c r="C60" s="95"/>
      <c r="D60" s="114"/>
      <c r="E60" s="87"/>
    </row>
    <row r="61" spans="1:7" s="55" customFormat="1" ht="45" customHeight="1" x14ac:dyDescent="0.25">
      <c r="A61" s="115">
        <v>369</v>
      </c>
      <c r="B61" s="116" t="s">
        <v>124</v>
      </c>
      <c r="C61" s="117">
        <f t="shared" ref="C61:D61" si="2">C62</f>
        <v>0</v>
      </c>
      <c r="D61" s="117">
        <f t="shared" si="2"/>
        <v>0</v>
      </c>
      <c r="E61" s="87" t="e">
        <f t="shared" si="0"/>
        <v>#DIV/0!</v>
      </c>
    </row>
    <row r="62" spans="1:7" s="55" customFormat="1" ht="45" customHeight="1" x14ac:dyDescent="0.25">
      <c r="A62" s="92">
        <v>3693</v>
      </c>
      <c r="B62" s="118" t="s">
        <v>125</v>
      </c>
      <c r="C62" s="95"/>
      <c r="D62" s="114"/>
      <c r="E62" s="87"/>
    </row>
    <row r="63" spans="1:7" s="55" customFormat="1" ht="15" x14ac:dyDescent="0.25">
      <c r="A63" s="92"/>
      <c r="B63" s="93"/>
      <c r="C63" s="95"/>
      <c r="D63" s="114"/>
      <c r="E63" s="87"/>
    </row>
    <row r="64" spans="1:7" s="110" customFormat="1" ht="15" x14ac:dyDescent="0.25">
      <c r="A64" s="106">
        <v>372</v>
      </c>
      <c r="B64" s="119" t="s">
        <v>54</v>
      </c>
      <c r="C64" s="109">
        <f>C65</f>
        <v>0</v>
      </c>
      <c r="D64" s="109">
        <f>D65</f>
        <v>0</v>
      </c>
      <c r="E64" s="87" t="e">
        <f t="shared" si="0"/>
        <v>#DIV/0!</v>
      </c>
    </row>
    <row r="65" spans="1:5" s="55" customFormat="1" ht="15" x14ac:dyDescent="0.25">
      <c r="A65" s="92" t="s">
        <v>15</v>
      </c>
      <c r="B65" s="93" t="s">
        <v>46</v>
      </c>
      <c r="C65" s="95"/>
      <c r="D65" s="114"/>
      <c r="E65" s="87" t="e">
        <f t="shared" si="0"/>
        <v>#DIV/0!</v>
      </c>
    </row>
    <row r="66" spans="1:5" s="55" customFormat="1" ht="15" x14ac:dyDescent="0.25">
      <c r="A66" s="92"/>
      <c r="B66" s="93"/>
      <c r="C66" s="95"/>
      <c r="D66" s="114"/>
      <c r="E66" s="87"/>
    </row>
    <row r="67" spans="1:5" s="110" customFormat="1" ht="15" x14ac:dyDescent="0.25">
      <c r="A67" s="106">
        <v>422</v>
      </c>
      <c r="B67" s="119" t="s">
        <v>55</v>
      </c>
      <c r="C67" s="109">
        <f>SUM(C68:C72)</f>
        <v>12329.6</v>
      </c>
      <c r="D67" s="109">
        <f>SUM(D68:D72)</f>
        <v>0</v>
      </c>
      <c r="E67" s="87">
        <f t="shared" si="0"/>
        <v>0</v>
      </c>
    </row>
    <row r="68" spans="1:5" s="55" customFormat="1" ht="15" x14ac:dyDescent="0.25">
      <c r="A68" s="92">
        <v>4221</v>
      </c>
      <c r="B68" s="97" t="s">
        <v>47</v>
      </c>
      <c r="C68" s="95">
        <v>10329.6</v>
      </c>
      <c r="D68" s="114"/>
      <c r="E68" s="87">
        <f t="shared" si="0"/>
        <v>0</v>
      </c>
    </row>
    <row r="69" spans="1:5" s="55" customFormat="1" ht="15" x14ac:dyDescent="0.25">
      <c r="A69" s="92">
        <v>4222</v>
      </c>
      <c r="B69" s="97" t="s">
        <v>48</v>
      </c>
      <c r="C69" s="95"/>
      <c r="D69" s="114"/>
      <c r="E69" s="87" t="e">
        <f t="shared" si="0"/>
        <v>#DIV/0!</v>
      </c>
    </row>
    <row r="70" spans="1:5" s="55" customFormat="1" ht="15" x14ac:dyDescent="0.25">
      <c r="A70" s="92">
        <v>4223</v>
      </c>
      <c r="B70" s="97" t="s">
        <v>49</v>
      </c>
      <c r="C70" s="95"/>
      <c r="D70" s="114"/>
      <c r="E70" s="87" t="e">
        <f t="shared" si="0"/>
        <v>#DIV/0!</v>
      </c>
    </row>
    <row r="71" spans="1:5" s="55" customFormat="1" ht="15" x14ac:dyDescent="0.25">
      <c r="A71" s="92">
        <v>4226</v>
      </c>
      <c r="B71" s="97" t="s">
        <v>50</v>
      </c>
      <c r="C71" s="95"/>
      <c r="D71" s="114"/>
      <c r="E71" s="87" t="e">
        <f t="shared" si="0"/>
        <v>#DIV/0!</v>
      </c>
    </row>
    <row r="72" spans="1:5" s="55" customFormat="1" ht="30" x14ac:dyDescent="0.25">
      <c r="A72" s="92">
        <v>4227</v>
      </c>
      <c r="B72" s="120" t="s">
        <v>51</v>
      </c>
      <c r="C72" s="95">
        <v>2000</v>
      </c>
      <c r="D72" s="96"/>
      <c r="E72" s="87">
        <f t="shared" si="0"/>
        <v>0</v>
      </c>
    </row>
    <row r="73" spans="1:5" s="55" customFormat="1" ht="15" x14ac:dyDescent="0.25">
      <c r="A73" s="92"/>
      <c r="B73" s="120"/>
      <c r="C73" s="95"/>
      <c r="D73" s="114"/>
      <c r="E73" s="87"/>
    </row>
    <row r="74" spans="1:5" s="55" customFormat="1" ht="15" x14ac:dyDescent="0.25">
      <c r="A74" s="92">
        <v>4241</v>
      </c>
      <c r="B74" s="97" t="s">
        <v>52</v>
      </c>
      <c r="C74" s="105"/>
      <c r="D74" s="123"/>
      <c r="E74" s="87" t="e">
        <f t="shared" si="0"/>
        <v>#DIV/0!</v>
      </c>
    </row>
    <row r="75" spans="1:5" s="55" customFormat="1" ht="15" x14ac:dyDescent="0.25">
      <c r="A75" s="102">
        <v>45</v>
      </c>
      <c r="B75" s="103" t="s">
        <v>13</v>
      </c>
      <c r="C75" s="105">
        <f>SUM(C76:C77)</f>
        <v>0</v>
      </c>
      <c r="D75" s="105">
        <f>SUM(D76:D77)</f>
        <v>0</v>
      </c>
      <c r="E75" s="87" t="e">
        <f t="shared" si="0"/>
        <v>#DIV/0!</v>
      </c>
    </row>
    <row r="76" spans="1:5" s="55" customFormat="1" ht="15" x14ac:dyDescent="0.25">
      <c r="A76" s="92">
        <v>4511</v>
      </c>
      <c r="B76" s="97" t="s">
        <v>12</v>
      </c>
      <c r="C76" s="95"/>
      <c r="D76" s="114"/>
      <c r="E76" s="87" t="e">
        <f t="shared" si="0"/>
        <v>#DIV/0!</v>
      </c>
    </row>
    <row r="77" spans="1:5" s="55" customFormat="1" ht="15" x14ac:dyDescent="0.25">
      <c r="A77" s="124">
        <v>4521</v>
      </c>
      <c r="B77" s="125" t="s">
        <v>14</v>
      </c>
      <c r="C77" s="127"/>
      <c r="D77" s="114"/>
      <c r="E77" s="87" t="e">
        <f t="shared" si="0"/>
        <v>#DIV/0!</v>
      </c>
    </row>
    <row r="78" spans="1:5" s="55" customFormat="1" ht="15" x14ac:dyDescent="0.25">
      <c r="A78" s="128"/>
      <c r="B78" s="129" t="s">
        <v>2</v>
      </c>
      <c r="C78" s="130">
        <f>SUM(C17:C19)+SUM(C24:C27)+SUM(C29:C34)+SUM(C36:C44)+SUM(C48:C53)+SUM(C57:C59)+C65+SUM(C68:C72)+C74+SUM(C76:C77)+C46</f>
        <v>28872</v>
      </c>
      <c r="D78" s="130">
        <f>SUM(D17:D19)+SUM(D24:D27)+SUM(D29:D34)+SUM(D36:D44)+SUM(D48:D53)+SUM(D57:D59)+D65+SUM(D68:D72)+D74+SUM(D76:D77)</f>
        <v>2375.36</v>
      </c>
      <c r="E78" s="87">
        <f t="shared" si="0"/>
        <v>8.2272097533942912</v>
      </c>
    </row>
    <row r="79" spans="1:5" s="55" customFormat="1" ht="15" x14ac:dyDescent="0.25">
      <c r="A79" s="131"/>
      <c r="B79" s="132" t="s">
        <v>3</v>
      </c>
      <c r="C79" s="130">
        <f>C15+C22+C56+C64+C67+C74+C75+C46</f>
        <v>28872</v>
      </c>
      <c r="D79" s="130">
        <f>D15+D22+D56+D64+D67+D74+D75</f>
        <v>2375.36</v>
      </c>
      <c r="E79" s="87">
        <f t="shared" si="0"/>
        <v>8.2272097533942912</v>
      </c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zoomScale="150" zoomScaleNormal="150" workbookViewId="0">
      <pane xSplit="1" topLeftCell="B1" activePane="topRight" state="frozen"/>
      <selection activeCell="K22" sqref="K22"/>
      <selection pane="topRight" activeCell="D68" sqref="D68"/>
    </sheetView>
  </sheetViews>
  <sheetFormatPr defaultRowHeight="14.25" x14ac:dyDescent="0.2"/>
  <cols>
    <col min="1" max="1" width="11.140625" style="4" customWidth="1"/>
    <col min="2" max="2" width="29" style="5" customWidth="1"/>
    <col min="3" max="3" width="18.7109375" style="2" customWidth="1"/>
    <col min="4" max="4" width="19.85546875" style="1" customWidth="1"/>
    <col min="5" max="5" width="13.42578125" style="1" customWidth="1"/>
    <col min="6" max="7" width="0" style="1" hidden="1" customWidth="1"/>
    <col min="8" max="8" width="10.42578125" style="1" customWidth="1"/>
    <col min="9" max="16384" width="9.140625" style="1"/>
  </cols>
  <sheetData>
    <row r="1" spans="1:8" s="55" customFormat="1" ht="15" x14ac:dyDescent="0.25">
      <c r="A1" s="54"/>
      <c r="B1" s="216"/>
      <c r="C1" s="216"/>
      <c r="D1" s="216"/>
      <c r="E1" s="216"/>
    </row>
    <row r="2" spans="1:8" s="55" customFormat="1" ht="24.75" customHeight="1" x14ac:dyDescent="0.35">
      <c r="A2" s="217" t="s">
        <v>123</v>
      </c>
      <c r="B2" s="218"/>
      <c r="C2" s="218"/>
      <c r="D2" s="218"/>
      <c r="E2" s="218"/>
      <c r="F2" s="56"/>
      <c r="G2" s="56"/>
      <c r="H2" s="56"/>
    </row>
    <row r="3" spans="1:8" s="55" customFormat="1" ht="20.25" customHeight="1" x14ac:dyDescent="0.25">
      <c r="A3" s="56"/>
      <c r="B3" s="219" t="s">
        <v>126</v>
      </c>
      <c r="C3" s="219"/>
      <c r="D3" s="219"/>
      <c r="E3" s="219"/>
      <c r="F3" s="56"/>
      <c r="G3" s="56"/>
      <c r="H3" s="56"/>
    </row>
    <row r="4" spans="1:8" s="55" customFormat="1" ht="20.25" customHeight="1" x14ac:dyDescent="0.25">
      <c r="A4" s="56"/>
      <c r="B4" s="56"/>
      <c r="C4" s="57"/>
      <c r="D4" s="56"/>
      <c r="E4" s="56"/>
      <c r="F4" s="56"/>
      <c r="G4" s="56"/>
      <c r="H4" s="56"/>
    </row>
    <row r="5" spans="1:8" s="55" customFormat="1" ht="18" customHeight="1" x14ac:dyDescent="0.3">
      <c r="A5" s="58" t="s">
        <v>5</v>
      </c>
      <c r="B5" s="59"/>
      <c r="C5" s="78"/>
      <c r="D5" s="59"/>
      <c r="E5" s="79"/>
    </row>
    <row r="6" spans="1:8" s="55" customFormat="1" ht="15" customHeight="1" x14ac:dyDescent="0.25">
      <c r="A6" s="63" t="s">
        <v>56</v>
      </c>
      <c r="C6" s="80"/>
      <c r="E6" s="77"/>
    </row>
    <row r="7" spans="1:8" s="55" customFormat="1" ht="16.5" customHeight="1" x14ac:dyDescent="0.25">
      <c r="A7" s="67"/>
      <c r="C7" s="80"/>
      <c r="E7" s="77"/>
    </row>
    <row r="8" spans="1:8" s="138" customFormat="1" ht="16.5" customHeight="1" x14ac:dyDescent="0.25">
      <c r="A8" s="137" t="s">
        <v>164</v>
      </c>
      <c r="C8" s="139"/>
      <c r="E8" s="140"/>
    </row>
    <row r="9" spans="1:8" s="55" customFormat="1" ht="16.5" customHeight="1" x14ac:dyDescent="0.25">
      <c r="A9" s="67" t="s">
        <v>131</v>
      </c>
      <c r="C9" s="80"/>
      <c r="E9" s="77"/>
    </row>
    <row r="10" spans="1:8" s="55" customFormat="1" ht="8.25" customHeight="1" x14ac:dyDescent="0.25">
      <c r="A10" s="71"/>
      <c r="B10" s="71"/>
      <c r="C10" s="81"/>
      <c r="D10" s="71"/>
      <c r="E10" s="82"/>
    </row>
    <row r="11" spans="1:8" s="55" customFormat="1" ht="15.75" customHeight="1" x14ac:dyDescent="0.25">
      <c r="A11" s="71"/>
      <c r="B11" s="71">
        <v>1</v>
      </c>
      <c r="C11" s="83">
        <v>2</v>
      </c>
      <c r="D11" s="84" t="s">
        <v>128</v>
      </c>
      <c r="E11" s="84" t="s">
        <v>89</v>
      </c>
      <c r="F11" s="71"/>
      <c r="G11" s="71"/>
    </row>
    <row r="12" spans="1:8" s="77" customFormat="1" ht="43.5" x14ac:dyDescent="0.25">
      <c r="A12" s="72" t="s">
        <v>4</v>
      </c>
      <c r="B12" s="72" t="s">
        <v>58</v>
      </c>
      <c r="C12" s="73" t="s">
        <v>86</v>
      </c>
      <c r="D12" s="72" t="s">
        <v>127</v>
      </c>
      <c r="E12" s="75" t="s">
        <v>129</v>
      </c>
      <c r="F12" s="76" t="s">
        <v>0</v>
      </c>
      <c r="G12" s="76" t="s">
        <v>1</v>
      </c>
    </row>
    <row r="13" spans="1:8" s="55" customFormat="1" ht="14.25" customHeight="1" x14ac:dyDescent="0.25">
      <c r="A13" s="85">
        <v>3</v>
      </c>
      <c r="B13" s="85" t="s">
        <v>16</v>
      </c>
      <c r="C13" s="86"/>
      <c r="D13" s="87"/>
      <c r="E13" s="87"/>
      <c r="F13" s="88">
        <f>SUM(F14:F20)</f>
        <v>0</v>
      </c>
      <c r="G13" s="88">
        <f>SUM(G14:G20)</f>
        <v>0</v>
      </c>
    </row>
    <row r="14" spans="1:8" s="55" customFormat="1" ht="14.25" customHeight="1" x14ac:dyDescent="0.25">
      <c r="A14" s="89">
        <v>31</v>
      </c>
      <c r="B14" s="89" t="s">
        <v>6</v>
      </c>
      <c r="C14" s="91">
        <f>SUM(C16:C18)</f>
        <v>18000</v>
      </c>
      <c r="D14" s="91">
        <f>SUM(D16:D18)</f>
        <v>16622.54</v>
      </c>
      <c r="E14" s="87">
        <f>D14/C14*100</f>
        <v>92.347444444444449</v>
      </c>
      <c r="F14" s="55">
        <v>0</v>
      </c>
      <c r="G14" s="55">
        <v>0</v>
      </c>
    </row>
    <row r="15" spans="1:8" s="55" customFormat="1" ht="14.25" customHeight="1" x14ac:dyDescent="0.25">
      <c r="A15" s="92">
        <v>311</v>
      </c>
      <c r="B15" s="93" t="s">
        <v>7</v>
      </c>
      <c r="C15" s="95"/>
      <c r="D15" s="96"/>
      <c r="E15" s="87"/>
      <c r="F15" s="55">
        <v>0</v>
      </c>
      <c r="G15" s="55">
        <v>0</v>
      </c>
    </row>
    <row r="16" spans="1:8" s="55" customFormat="1" ht="14.25" customHeight="1" x14ac:dyDescent="0.25">
      <c r="A16" s="92">
        <v>3111</v>
      </c>
      <c r="B16" s="97" t="s">
        <v>17</v>
      </c>
      <c r="C16" s="95">
        <v>15000</v>
      </c>
      <c r="D16" s="96">
        <v>14268.27</v>
      </c>
      <c r="E16" s="87">
        <f t="shared" ref="E16:E78" si="0">D16/C16*100</f>
        <v>95.121800000000007</v>
      </c>
      <c r="F16" s="55">
        <v>0</v>
      </c>
      <c r="G16" s="55">
        <v>0</v>
      </c>
    </row>
    <row r="17" spans="1:7" s="55" customFormat="1" ht="14.25" customHeight="1" x14ac:dyDescent="0.25">
      <c r="A17" s="92">
        <v>3121</v>
      </c>
      <c r="B17" s="93" t="s">
        <v>8</v>
      </c>
      <c r="C17" s="95"/>
      <c r="D17" s="96"/>
      <c r="E17" s="87" t="e">
        <f t="shared" si="0"/>
        <v>#DIV/0!</v>
      </c>
    </row>
    <row r="18" spans="1:7" s="55" customFormat="1" ht="14.25" customHeight="1" x14ac:dyDescent="0.25">
      <c r="A18" s="92">
        <v>3132</v>
      </c>
      <c r="B18" s="93" t="s">
        <v>18</v>
      </c>
      <c r="C18" s="95">
        <v>3000</v>
      </c>
      <c r="D18" s="98">
        <v>2354.27</v>
      </c>
      <c r="E18" s="87">
        <f t="shared" si="0"/>
        <v>78.475666666666669</v>
      </c>
    </row>
    <row r="19" spans="1:7" s="55" customFormat="1" ht="14.25" customHeight="1" x14ac:dyDescent="0.25">
      <c r="A19" s="92"/>
      <c r="B19" s="93"/>
      <c r="C19" s="95"/>
      <c r="D19" s="98"/>
      <c r="E19" s="87"/>
      <c r="F19" s="55">
        <v>0</v>
      </c>
      <c r="G19" s="55">
        <v>0</v>
      </c>
    </row>
    <row r="20" spans="1:7" s="55" customFormat="1" ht="14.25" customHeight="1" x14ac:dyDescent="0.25">
      <c r="A20" s="92"/>
      <c r="B20" s="99"/>
      <c r="C20" s="95"/>
      <c r="D20" s="101"/>
      <c r="E20" s="87"/>
      <c r="F20" s="55">
        <v>0</v>
      </c>
      <c r="G20" s="55">
        <v>0</v>
      </c>
    </row>
    <row r="21" spans="1:7" s="55" customFormat="1" ht="20.100000000000001" customHeight="1" x14ac:dyDescent="0.25">
      <c r="A21" s="102">
        <v>32</v>
      </c>
      <c r="B21" s="103" t="s">
        <v>9</v>
      </c>
      <c r="C21" s="105">
        <f>SUM(C22+C27+C34+C46)</f>
        <v>412655.30000000005</v>
      </c>
      <c r="D21" s="105">
        <f>SUM(D22+D27+D34+D46)</f>
        <v>345319.65</v>
      </c>
      <c r="E21" s="87">
        <f t="shared" si="0"/>
        <v>83.682349408816506</v>
      </c>
    </row>
    <row r="22" spans="1:7" s="110" customFormat="1" ht="20.100000000000001" customHeight="1" x14ac:dyDescent="0.25">
      <c r="A22" s="106">
        <v>321</v>
      </c>
      <c r="B22" s="107"/>
      <c r="C22" s="109">
        <f>C23+C24+C25+C26</f>
        <v>500</v>
      </c>
      <c r="D22" s="109">
        <f>D23+D24+D25+D26</f>
        <v>394.42</v>
      </c>
      <c r="E22" s="87">
        <f t="shared" si="0"/>
        <v>78.884</v>
      </c>
    </row>
    <row r="23" spans="1:7" s="55" customFormat="1" ht="14.25" customHeight="1" x14ac:dyDescent="0.25">
      <c r="A23" s="92">
        <v>3211</v>
      </c>
      <c r="B23" s="93" t="s">
        <v>19</v>
      </c>
      <c r="C23" s="95"/>
      <c r="D23" s="98"/>
      <c r="E23" s="87" t="e">
        <f t="shared" si="0"/>
        <v>#DIV/0!</v>
      </c>
    </row>
    <row r="24" spans="1:7" s="55" customFormat="1" ht="14.25" customHeight="1" x14ac:dyDescent="0.25">
      <c r="A24" s="92">
        <v>3212</v>
      </c>
      <c r="B24" s="93" t="s">
        <v>20</v>
      </c>
      <c r="C24" s="95"/>
      <c r="D24" s="98"/>
      <c r="E24" s="87" t="e">
        <f t="shared" si="0"/>
        <v>#DIV/0!</v>
      </c>
    </row>
    <row r="25" spans="1:7" s="55" customFormat="1" ht="14.25" customHeight="1" x14ac:dyDescent="0.25">
      <c r="A25" s="92">
        <v>3213</v>
      </c>
      <c r="B25" s="93" t="s">
        <v>21</v>
      </c>
      <c r="C25" s="95"/>
      <c r="D25" s="98"/>
      <c r="E25" s="87" t="e">
        <f t="shared" si="0"/>
        <v>#DIV/0!</v>
      </c>
    </row>
    <row r="26" spans="1:7" s="55" customFormat="1" ht="14.25" customHeight="1" x14ac:dyDescent="0.25">
      <c r="A26" s="92">
        <v>3214</v>
      </c>
      <c r="B26" s="93" t="s">
        <v>22</v>
      </c>
      <c r="C26" s="95">
        <v>500</v>
      </c>
      <c r="D26" s="98">
        <v>394.42</v>
      </c>
      <c r="E26" s="87">
        <f t="shared" si="0"/>
        <v>78.884</v>
      </c>
    </row>
    <row r="27" spans="1:7" s="110" customFormat="1" ht="14.25" customHeight="1" x14ac:dyDescent="0.25">
      <c r="A27" s="106">
        <v>322</v>
      </c>
      <c r="B27" s="111"/>
      <c r="C27" s="109">
        <f>C28+C29+C30+C31+C32+C33</f>
        <v>160855</v>
      </c>
      <c r="D27" s="109">
        <f>D28+D29+D30+D31+D32+D33</f>
        <v>135838.12999999998</v>
      </c>
      <c r="E27" s="87">
        <f t="shared" si="0"/>
        <v>84.447564576792743</v>
      </c>
    </row>
    <row r="28" spans="1:7" s="55" customFormat="1" ht="14.25" customHeight="1" x14ac:dyDescent="0.25">
      <c r="A28" s="92">
        <v>3221</v>
      </c>
      <c r="B28" s="93" t="s">
        <v>23</v>
      </c>
      <c r="C28" s="95">
        <v>10000</v>
      </c>
      <c r="D28" s="98">
        <v>4738.93</v>
      </c>
      <c r="E28" s="87">
        <f t="shared" si="0"/>
        <v>47.389299999999999</v>
      </c>
    </row>
    <row r="29" spans="1:7" s="55" customFormat="1" ht="14.25" customHeight="1" x14ac:dyDescent="0.25">
      <c r="A29" s="92">
        <v>3222</v>
      </c>
      <c r="B29" s="93" t="s">
        <v>24</v>
      </c>
      <c r="C29" s="95">
        <v>135000</v>
      </c>
      <c r="D29" s="98">
        <v>121784.63</v>
      </c>
      <c r="E29" s="87">
        <f t="shared" si="0"/>
        <v>90.210837037037038</v>
      </c>
    </row>
    <row r="30" spans="1:7" s="55" customFormat="1" ht="14.25" customHeight="1" x14ac:dyDescent="0.25">
      <c r="A30" s="92">
        <v>3223</v>
      </c>
      <c r="B30" s="93" t="s">
        <v>25</v>
      </c>
      <c r="C30" s="95">
        <v>3855</v>
      </c>
      <c r="D30" s="98"/>
      <c r="E30" s="87">
        <f t="shared" si="0"/>
        <v>0</v>
      </c>
      <c r="F30" s="55">
        <v>0</v>
      </c>
      <c r="G30" s="55">
        <v>0</v>
      </c>
    </row>
    <row r="31" spans="1:7" s="55" customFormat="1" ht="14.25" customHeight="1" x14ac:dyDescent="0.25">
      <c r="A31" s="92">
        <v>3224</v>
      </c>
      <c r="B31" s="93" t="s">
        <v>26</v>
      </c>
      <c r="C31" s="95"/>
      <c r="D31" s="98"/>
      <c r="E31" s="87" t="e">
        <f t="shared" si="0"/>
        <v>#DIV/0!</v>
      </c>
      <c r="F31" s="55">
        <v>0</v>
      </c>
      <c r="G31" s="55">
        <v>0</v>
      </c>
    </row>
    <row r="32" spans="1:7" s="55" customFormat="1" ht="14.25" customHeight="1" x14ac:dyDescent="0.25">
      <c r="A32" s="92">
        <v>3225</v>
      </c>
      <c r="B32" s="93" t="s">
        <v>27</v>
      </c>
      <c r="C32" s="95">
        <v>10000</v>
      </c>
      <c r="D32" s="98">
        <v>8760.61</v>
      </c>
      <c r="E32" s="87">
        <f t="shared" si="0"/>
        <v>87.606100000000012</v>
      </c>
    </row>
    <row r="33" spans="1:7" s="55" customFormat="1" ht="14.25" customHeight="1" x14ac:dyDescent="0.25">
      <c r="A33" s="92">
        <v>3227</v>
      </c>
      <c r="B33" s="93" t="s">
        <v>28</v>
      </c>
      <c r="C33" s="95">
        <v>2000</v>
      </c>
      <c r="D33" s="98">
        <v>553.96</v>
      </c>
      <c r="E33" s="87">
        <f t="shared" si="0"/>
        <v>27.698</v>
      </c>
    </row>
    <row r="34" spans="1:7" s="110" customFormat="1" ht="14.25" customHeight="1" x14ac:dyDescent="0.25">
      <c r="A34" s="106">
        <v>323</v>
      </c>
      <c r="B34" s="111"/>
      <c r="C34" s="109">
        <f>C35+C36+C37+C38+C39+C40+C41+C42+C43</f>
        <v>249249.03</v>
      </c>
      <c r="D34" s="109">
        <f>D35+D36+D37+D38+D39+D40+D41+D42+D43</f>
        <v>207073.33000000002</v>
      </c>
      <c r="E34" s="87">
        <f t="shared" si="0"/>
        <v>83.078891019154625</v>
      </c>
    </row>
    <row r="35" spans="1:7" s="55" customFormat="1" ht="14.25" customHeight="1" x14ac:dyDescent="0.25">
      <c r="A35" s="92">
        <v>3231</v>
      </c>
      <c r="B35" s="93" t="s">
        <v>29</v>
      </c>
      <c r="C35" s="95">
        <v>136.53</v>
      </c>
      <c r="D35" s="98">
        <v>136.53</v>
      </c>
      <c r="E35" s="87">
        <f t="shared" si="0"/>
        <v>100</v>
      </c>
    </row>
    <row r="36" spans="1:7" s="55" customFormat="1" ht="14.25" customHeight="1" x14ac:dyDescent="0.25">
      <c r="A36" s="92">
        <v>3232</v>
      </c>
      <c r="B36" s="93" t="s">
        <v>30</v>
      </c>
      <c r="C36" s="95"/>
      <c r="D36" s="98"/>
      <c r="E36" s="87" t="e">
        <f t="shared" si="0"/>
        <v>#DIV/0!</v>
      </c>
    </row>
    <row r="37" spans="1:7" s="55" customFormat="1" ht="14.25" customHeight="1" x14ac:dyDescent="0.25">
      <c r="A37" s="92">
        <v>3233</v>
      </c>
      <c r="B37" s="93" t="s">
        <v>31</v>
      </c>
      <c r="C37" s="95"/>
      <c r="D37" s="98"/>
      <c r="E37" s="87" t="e">
        <f t="shared" si="0"/>
        <v>#DIV/0!</v>
      </c>
    </row>
    <row r="38" spans="1:7" s="55" customFormat="1" ht="14.25" customHeight="1" x14ac:dyDescent="0.25">
      <c r="A38" s="92">
        <v>3234</v>
      </c>
      <c r="B38" s="93" t="s">
        <v>32</v>
      </c>
      <c r="C38" s="95">
        <v>5000</v>
      </c>
      <c r="D38" s="98">
        <v>3345.04</v>
      </c>
      <c r="E38" s="87">
        <f t="shared" si="0"/>
        <v>66.900800000000004</v>
      </c>
    </row>
    <row r="39" spans="1:7" s="55" customFormat="1" ht="14.25" customHeight="1" x14ac:dyDescent="0.25">
      <c r="A39" s="92">
        <v>3235</v>
      </c>
      <c r="B39" s="93" t="s">
        <v>33</v>
      </c>
      <c r="C39" s="95"/>
      <c r="D39" s="98"/>
      <c r="E39" s="87" t="e">
        <f t="shared" si="0"/>
        <v>#DIV/0!</v>
      </c>
    </row>
    <row r="40" spans="1:7" s="55" customFormat="1" ht="14.25" customHeight="1" x14ac:dyDescent="0.25">
      <c r="A40" s="92">
        <v>3236</v>
      </c>
      <c r="B40" s="93" t="s">
        <v>34</v>
      </c>
      <c r="C40" s="95">
        <v>4000</v>
      </c>
      <c r="D40" s="98">
        <v>1150</v>
      </c>
      <c r="E40" s="87">
        <f t="shared" si="0"/>
        <v>28.749999999999996</v>
      </c>
      <c r="F40" s="55">
        <v>0</v>
      </c>
      <c r="G40" s="55">
        <v>0</v>
      </c>
    </row>
    <row r="41" spans="1:7" s="55" customFormat="1" ht="14.25" customHeight="1" x14ac:dyDescent="0.25">
      <c r="A41" s="92">
        <v>3237</v>
      </c>
      <c r="B41" s="93" t="s">
        <v>35</v>
      </c>
      <c r="C41" s="95"/>
      <c r="D41" s="98"/>
      <c r="E41" s="87" t="e">
        <f t="shared" si="0"/>
        <v>#DIV/0!</v>
      </c>
      <c r="F41" s="55">
        <v>0</v>
      </c>
      <c r="G41" s="55">
        <v>0</v>
      </c>
    </row>
    <row r="42" spans="1:7" s="55" customFormat="1" ht="14.25" customHeight="1" x14ac:dyDescent="0.25">
      <c r="A42" s="92">
        <v>3238</v>
      </c>
      <c r="B42" s="93" t="s">
        <v>36</v>
      </c>
      <c r="C42" s="95">
        <v>100</v>
      </c>
      <c r="D42" s="98">
        <v>12.5</v>
      </c>
      <c r="E42" s="87">
        <f t="shared" si="0"/>
        <v>12.5</v>
      </c>
    </row>
    <row r="43" spans="1:7" s="55" customFormat="1" ht="14.25" customHeight="1" x14ac:dyDescent="0.25">
      <c r="A43" s="92">
        <v>3239</v>
      </c>
      <c r="B43" s="93" t="s">
        <v>37</v>
      </c>
      <c r="C43" s="95">
        <v>240012.5</v>
      </c>
      <c r="D43" s="98">
        <f>201191.76+1237.5</f>
        <v>202429.26</v>
      </c>
      <c r="E43" s="87">
        <f t="shared" si="0"/>
        <v>84.341132232696211</v>
      </c>
    </row>
    <row r="44" spans="1:7" s="55" customFormat="1" ht="14.25" customHeight="1" x14ac:dyDescent="0.25">
      <c r="A44" s="92"/>
      <c r="B44" s="93"/>
      <c r="C44" s="95"/>
      <c r="D44" s="98"/>
      <c r="E44" s="87" t="e">
        <f t="shared" si="0"/>
        <v>#DIV/0!</v>
      </c>
    </row>
    <row r="45" spans="1:7" s="55" customFormat="1" ht="14.25" customHeight="1" x14ac:dyDescent="0.25">
      <c r="A45" s="92">
        <v>3241</v>
      </c>
      <c r="B45" s="93" t="s">
        <v>10</v>
      </c>
      <c r="C45" s="95"/>
      <c r="D45" s="101"/>
      <c r="E45" s="87" t="e">
        <f t="shared" si="0"/>
        <v>#DIV/0!</v>
      </c>
    </row>
    <row r="46" spans="1:7" s="110" customFormat="1" ht="14.25" customHeight="1" x14ac:dyDescent="0.25">
      <c r="A46" s="106">
        <v>329</v>
      </c>
      <c r="B46" s="111"/>
      <c r="C46" s="109">
        <f>C47+C48+C49+C50+C51+C52</f>
        <v>2051.27</v>
      </c>
      <c r="D46" s="109">
        <f>D47+D48+D49+D50+D51+D52</f>
        <v>2013.77</v>
      </c>
      <c r="E46" s="87">
        <f t="shared" si="0"/>
        <v>98.171864259702517</v>
      </c>
    </row>
    <row r="47" spans="1:7" s="55" customFormat="1" ht="14.25" customHeight="1" x14ac:dyDescent="0.25">
      <c r="A47" s="92">
        <v>3291</v>
      </c>
      <c r="B47" s="93" t="s">
        <v>38</v>
      </c>
      <c r="C47" s="95">
        <v>1451.27</v>
      </c>
      <c r="D47" s="112">
        <v>1451.27</v>
      </c>
      <c r="E47" s="87">
        <f t="shared" si="0"/>
        <v>100</v>
      </c>
    </row>
    <row r="48" spans="1:7" s="55" customFormat="1" ht="14.25" customHeight="1" x14ac:dyDescent="0.25">
      <c r="A48" s="92">
        <v>3292</v>
      </c>
      <c r="B48" s="93" t="s">
        <v>39</v>
      </c>
      <c r="C48" s="95"/>
      <c r="D48" s="113"/>
      <c r="E48" s="87" t="e">
        <f t="shared" si="0"/>
        <v>#DIV/0!</v>
      </c>
    </row>
    <row r="49" spans="1:7" s="55" customFormat="1" ht="14.25" customHeight="1" x14ac:dyDescent="0.25">
      <c r="A49" s="92">
        <v>3293</v>
      </c>
      <c r="B49" s="93" t="s">
        <v>40</v>
      </c>
      <c r="C49" s="95"/>
      <c r="D49" s="113"/>
      <c r="E49" s="87" t="e">
        <f t="shared" si="0"/>
        <v>#DIV/0!</v>
      </c>
      <c r="F49" s="55">
        <v>0</v>
      </c>
      <c r="G49" s="55">
        <v>0</v>
      </c>
    </row>
    <row r="50" spans="1:7" s="55" customFormat="1" ht="14.25" customHeight="1" x14ac:dyDescent="0.25">
      <c r="A50" s="92">
        <v>3294</v>
      </c>
      <c r="B50" s="93" t="s">
        <v>41</v>
      </c>
      <c r="C50" s="95"/>
      <c r="D50" s="113"/>
      <c r="E50" s="87" t="e">
        <f t="shared" si="0"/>
        <v>#DIV/0!</v>
      </c>
      <c r="F50" s="55">
        <v>0</v>
      </c>
      <c r="G50" s="55">
        <v>0</v>
      </c>
    </row>
    <row r="51" spans="1:7" s="55" customFormat="1" ht="14.25" customHeight="1" x14ac:dyDescent="0.25">
      <c r="A51" s="92">
        <v>3295</v>
      </c>
      <c r="B51" s="93" t="s">
        <v>42</v>
      </c>
      <c r="C51" s="95">
        <v>500</v>
      </c>
      <c r="D51" s="114">
        <v>500</v>
      </c>
      <c r="E51" s="87">
        <f t="shared" si="0"/>
        <v>100</v>
      </c>
    </row>
    <row r="52" spans="1:7" s="55" customFormat="1" ht="14.25" customHeight="1" x14ac:dyDescent="0.25">
      <c r="A52" s="92">
        <v>3299</v>
      </c>
      <c r="B52" s="93" t="s">
        <v>11</v>
      </c>
      <c r="C52" s="95">
        <v>100</v>
      </c>
      <c r="D52" s="114">
        <v>62.5</v>
      </c>
      <c r="E52" s="87">
        <f t="shared" si="0"/>
        <v>62.5</v>
      </c>
    </row>
    <row r="53" spans="1:7" s="55" customFormat="1" ht="14.25" customHeight="1" x14ac:dyDescent="0.25">
      <c r="A53" s="92"/>
      <c r="B53" s="93"/>
      <c r="C53" s="95"/>
      <c r="D53" s="114"/>
      <c r="E53" s="87"/>
    </row>
    <row r="54" spans="1:7" s="55" customFormat="1" ht="15" x14ac:dyDescent="0.25">
      <c r="A54" s="92"/>
      <c r="B54" s="93"/>
      <c r="C54" s="95"/>
      <c r="D54" s="114"/>
      <c r="E54" s="87"/>
    </row>
    <row r="55" spans="1:7" s="110" customFormat="1" ht="15" x14ac:dyDescent="0.25">
      <c r="A55" s="106">
        <v>343</v>
      </c>
      <c r="B55" s="107" t="s">
        <v>53</v>
      </c>
      <c r="C55" s="109">
        <f>SUM(C56:C58)</f>
        <v>1000</v>
      </c>
      <c r="D55" s="109">
        <f t="shared" ref="D55" si="1">SUM(D56:D58)</f>
        <v>733.34</v>
      </c>
      <c r="E55" s="87">
        <f t="shared" si="0"/>
        <v>73.334000000000003</v>
      </c>
    </row>
    <row r="56" spans="1:7" s="55" customFormat="1" ht="15" x14ac:dyDescent="0.25">
      <c r="A56" s="92">
        <v>3431</v>
      </c>
      <c r="B56" s="93" t="s">
        <v>43</v>
      </c>
      <c r="C56" s="95">
        <v>1000</v>
      </c>
      <c r="D56" s="114">
        <v>733.34</v>
      </c>
      <c r="E56" s="87">
        <f t="shared" si="0"/>
        <v>73.334000000000003</v>
      </c>
    </row>
    <row r="57" spans="1:7" s="55" customFormat="1" ht="15" x14ac:dyDescent="0.25">
      <c r="A57" s="92">
        <v>3432</v>
      </c>
      <c r="B57" s="93" t="s">
        <v>44</v>
      </c>
      <c r="C57" s="95"/>
      <c r="D57" s="114"/>
      <c r="E57" s="87" t="e">
        <f t="shared" si="0"/>
        <v>#DIV/0!</v>
      </c>
    </row>
    <row r="58" spans="1:7" s="55" customFormat="1" ht="15" x14ac:dyDescent="0.25">
      <c r="A58" s="92">
        <v>3433</v>
      </c>
      <c r="B58" s="93" t="s">
        <v>45</v>
      </c>
      <c r="C58" s="95"/>
      <c r="D58" s="114"/>
      <c r="E58" s="87" t="e">
        <f t="shared" si="0"/>
        <v>#DIV/0!</v>
      </c>
    </row>
    <row r="59" spans="1:7" s="55" customFormat="1" ht="15" x14ac:dyDescent="0.25">
      <c r="A59" s="92"/>
      <c r="B59" s="93"/>
      <c r="C59" s="95"/>
      <c r="D59" s="114"/>
      <c r="E59" s="87"/>
    </row>
    <row r="60" spans="1:7" s="55" customFormat="1" ht="45" customHeight="1" x14ac:dyDescent="0.25">
      <c r="A60" s="115">
        <v>369</v>
      </c>
      <c r="B60" s="116" t="s">
        <v>124</v>
      </c>
      <c r="C60" s="117">
        <f t="shared" ref="C60:D60" si="2">C61</f>
        <v>0</v>
      </c>
      <c r="D60" s="117">
        <f t="shared" si="2"/>
        <v>0</v>
      </c>
      <c r="E60" s="87" t="e">
        <f t="shared" si="0"/>
        <v>#DIV/0!</v>
      </c>
    </row>
    <row r="61" spans="1:7" s="55" customFormat="1" ht="45" customHeight="1" x14ac:dyDescent="0.25">
      <c r="A61" s="92">
        <v>3693</v>
      </c>
      <c r="B61" s="118" t="s">
        <v>125</v>
      </c>
      <c r="C61" s="95"/>
      <c r="D61" s="114"/>
      <c r="E61" s="87"/>
    </row>
    <row r="62" spans="1:7" s="55" customFormat="1" ht="15" x14ac:dyDescent="0.25">
      <c r="A62" s="92"/>
      <c r="B62" s="93"/>
      <c r="C62" s="95"/>
      <c r="D62" s="114"/>
      <c r="E62" s="87"/>
    </row>
    <row r="63" spans="1:7" s="110" customFormat="1" ht="15" x14ac:dyDescent="0.25">
      <c r="A63" s="106">
        <v>372</v>
      </c>
      <c r="B63" s="119" t="s">
        <v>54</v>
      </c>
      <c r="C63" s="109">
        <f>C64</f>
        <v>5220.22</v>
      </c>
      <c r="D63" s="109">
        <f>D64</f>
        <v>5220.22</v>
      </c>
      <c r="E63" s="87">
        <f t="shared" si="0"/>
        <v>100</v>
      </c>
    </row>
    <row r="64" spans="1:7" s="55" customFormat="1" ht="15" x14ac:dyDescent="0.25">
      <c r="A64" s="92" t="s">
        <v>15</v>
      </c>
      <c r="B64" s="93" t="s">
        <v>46</v>
      </c>
      <c r="C64" s="95">
        <v>5220.22</v>
      </c>
      <c r="D64" s="114">
        <v>5220.22</v>
      </c>
      <c r="E64" s="87">
        <f t="shared" si="0"/>
        <v>100</v>
      </c>
    </row>
    <row r="65" spans="1:5" s="55" customFormat="1" ht="15" x14ac:dyDescent="0.25">
      <c r="A65" s="92"/>
      <c r="B65" s="93"/>
      <c r="C65" s="95"/>
      <c r="D65" s="114"/>
      <c r="E65" s="87"/>
    </row>
    <row r="66" spans="1:5" s="110" customFormat="1" ht="15" x14ac:dyDescent="0.25">
      <c r="A66" s="106">
        <v>422</v>
      </c>
      <c r="B66" s="119" t="s">
        <v>55</v>
      </c>
      <c r="C66" s="109">
        <f>SUM(C67:C71)</f>
        <v>35000</v>
      </c>
      <c r="D66" s="109">
        <f>SUM(D67:D71)</f>
        <v>20624.98</v>
      </c>
      <c r="E66" s="87">
        <f t="shared" si="0"/>
        <v>58.928514285714286</v>
      </c>
    </row>
    <row r="67" spans="1:5" s="55" customFormat="1" ht="15" x14ac:dyDescent="0.25">
      <c r="A67" s="92">
        <v>4221</v>
      </c>
      <c r="B67" s="97" t="s">
        <v>47</v>
      </c>
      <c r="C67" s="95">
        <v>25000</v>
      </c>
      <c r="D67" s="114">
        <v>20624.98</v>
      </c>
      <c r="E67" s="87">
        <f t="shared" si="0"/>
        <v>82.499919999999989</v>
      </c>
    </row>
    <row r="68" spans="1:5" s="55" customFormat="1" ht="15" x14ac:dyDescent="0.25">
      <c r="A68" s="92">
        <v>4222</v>
      </c>
      <c r="B68" s="97" t="s">
        <v>48</v>
      </c>
      <c r="C68" s="95"/>
      <c r="D68" s="114"/>
      <c r="E68" s="87" t="e">
        <f t="shared" si="0"/>
        <v>#DIV/0!</v>
      </c>
    </row>
    <row r="69" spans="1:5" s="55" customFormat="1" ht="15" x14ac:dyDescent="0.25">
      <c r="A69" s="92">
        <v>4223</v>
      </c>
      <c r="B69" s="97" t="s">
        <v>49</v>
      </c>
      <c r="C69" s="95"/>
      <c r="D69" s="114"/>
      <c r="E69" s="87" t="e">
        <f t="shared" si="0"/>
        <v>#DIV/0!</v>
      </c>
    </row>
    <row r="70" spans="1:5" s="55" customFormat="1" ht="15" x14ac:dyDescent="0.25">
      <c r="A70" s="92">
        <v>4226</v>
      </c>
      <c r="B70" s="97" t="s">
        <v>50</v>
      </c>
      <c r="C70" s="95"/>
      <c r="D70" s="114"/>
      <c r="E70" s="87" t="e">
        <f t="shared" si="0"/>
        <v>#DIV/0!</v>
      </c>
    </row>
    <row r="71" spans="1:5" s="55" customFormat="1" ht="30" x14ac:dyDescent="0.25">
      <c r="A71" s="92">
        <v>4227</v>
      </c>
      <c r="B71" s="120" t="s">
        <v>51</v>
      </c>
      <c r="C71" s="95">
        <v>10000</v>
      </c>
      <c r="D71" s="96"/>
      <c r="E71" s="87">
        <f t="shared" si="0"/>
        <v>0</v>
      </c>
    </row>
    <row r="72" spans="1:5" s="55" customFormat="1" ht="15" x14ac:dyDescent="0.25">
      <c r="A72" s="92"/>
      <c r="B72" s="120"/>
      <c r="C72" s="95"/>
      <c r="D72" s="114"/>
      <c r="E72" s="87"/>
    </row>
    <row r="73" spans="1:5" s="55" customFormat="1" ht="15" x14ac:dyDescent="0.25">
      <c r="A73" s="92">
        <v>4241</v>
      </c>
      <c r="B73" s="97" t="s">
        <v>52</v>
      </c>
      <c r="C73" s="105"/>
      <c r="D73" s="123"/>
      <c r="E73" s="87" t="e">
        <f t="shared" si="0"/>
        <v>#DIV/0!</v>
      </c>
    </row>
    <row r="74" spans="1:5" s="55" customFormat="1" ht="15" x14ac:dyDescent="0.25">
      <c r="A74" s="102">
        <v>45</v>
      </c>
      <c r="B74" s="103" t="s">
        <v>13</v>
      </c>
      <c r="C74" s="105">
        <f>SUM(C75:C76)</f>
        <v>0</v>
      </c>
      <c r="D74" s="105">
        <f>SUM(D75:D76)</f>
        <v>0</v>
      </c>
      <c r="E74" s="87" t="e">
        <f t="shared" si="0"/>
        <v>#DIV/0!</v>
      </c>
    </row>
    <row r="75" spans="1:5" s="55" customFormat="1" ht="15" x14ac:dyDescent="0.25">
      <c r="A75" s="92">
        <v>4511</v>
      </c>
      <c r="B75" s="97" t="s">
        <v>12</v>
      </c>
      <c r="C75" s="95"/>
      <c r="D75" s="114"/>
      <c r="E75" s="87" t="e">
        <f t="shared" si="0"/>
        <v>#DIV/0!</v>
      </c>
    </row>
    <row r="76" spans="1:5" s="55" customFormat="1" ht="15" x14ac:dyDescent="0.25">
      <c r="A76" s="124">
        <v>4521</v>
      </c>
      <c r="B76" s="125" t="s">
        <v>14</v>
      </c>
      <c r="C76" s="127"/>
      <c r="D76" s="114"/>
      <c r="E76" s="87" t="e">
        <f t="shared" si="0"/>
        <v>#DIV/0!</v>
      </c>
    </row>
    <row r="77" spans="1:5" s="55" customFormat="1" ht="15" x14ac:dyDescent="0.25">
      <c r="A77" s="128"/>
      <c r="B77" s="129" t="s">
        <v>2</v>
      </c>
      <c r="C77" s="130">
        <f>SUM(C16:C18)+SUM(C23:C26)+SUM(C28:C33)+SUM(C35:C43)+SUM(C47:C52)+SUM(C56:C58)+C64+SUM(C67:C71)+C73+SUM(C75:C76)+C45</f>
        <v>471875.52</v>
      </c>
      <c r="D77" s="130">
        <f>SUM(D16:D18)+SUM(D23:D26)+SUM(D28:D33)+SUM(D35:D43)+SUM(D47:D52)+SUM(D56:D58)+D64+SUM(D67:D71)+D73+SUM(D75:D76)</f>
        <v>388520.73</v>
      </c>
      <c r="E77" s="87">
        <f t="shared" si="0"/>
        <v>82.335428207845993</v>
      </c>
    </row>
    <row r="78" spans="1:5" s="55" customFormat="1" ht="15" x14ac:dyDescent="0.25">
      <c r="A78" s="131"/>
      <c r="B78" s="132" t="s">
        <v>3</v>
      </c>
      <c r="C78" s="130">
        <f>C14+C21+C55+C63+C66+C73+C74+C45</f>
        <v>471875.52</v>
      </c>
      <c r="D78" s="130">
        <f>D14+D21+D55+D63+D66+D73+D74</f>
        <v>388520.73</v>
      </c>
      <c r="E78" s="87">
        <f t="shared" si="0"/>
        <v>82.335428207845993</v>
      </c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zoomScale="150" zoomScaleNormal="150" workbookViewId="0">
      <pane xSplit="1" topLeftCell="B1" activePane="topRight" state="frozen"/>
      <selection activeCell="K22" sqref="K22"/>
      <selection pane="topRight" activeCell="I18" sqref="I18"/>
    </sheetView>
  </sheetViews>
  <sheetFormatPr defaultRowHeight="14.25" x14ac:dyDescent="0.2"/>
  <cols>
    <col min="1" max="1" width="11.140625" style="4" customWidth="1"/>
    <col min="2" max="2" width="29" style="5" customWidth="1"/>
    <col min="3" max="3" width="18.7109375" style="2" customWidth="1"/>
    <col min="4" max="4" width="19.85546875" style="1" customWidth="1"/>
    <col min="5" max="5" width="13.42578125" style="1" customWidth="1"/>
    <col min="6" max="7" width="0" style="1" hidden="1" customWidth="1"/>
    <col min="8" max="8" width="10.42578125" style="1" customWidth="1"/>
    <col min="9" max="16384" width="9.140625" style="1"/>
  </cols>
  <sheetData>
    <row r="1" spans="1:8" s="55" customFormat="1" ht="15" x14ac:dyDescent="0.25">
      <c r="A1" s="54"/>
      <c r="B1" s="216"/>
      <c r="C1" s="216"/>
      <c r="D1" s="216"/>
      <c r="E1" s="216"/>
    </row>
    <row r="2" spans="1:8" s="55" customFormat="1" ht="24.75" customHeight="1" x14ac:dyDescent="0.35">
      <c r="A2" s="217" t="s">
        <v>123</v>
      </c>
      <c r="B2" s="218"/>
      <c r="C2" s="218"/>
      <c r="D2" s="218"/>
      <c r="E2" s="218"/>
      <c r="F2" s="56"/>
      <c r="G2" s="56"/>
      <c r="H2" s="56"/>
    </row>
    <row r="3" spans="1:8" s="55" customFormat="1" ht="20.25" customHeight="1" x14ac:dyDescent="0.25">
      <c r="A3" s="56"/>
      <c r="B3" s="219" t="s">
        <v>126</v>
      </c>
      <c r="C3" s="219"/>
      <c r="D3" s="219"/>
      <c r="E3" s="219"/>
      <c r="F3" s="56"/>
      <c r="G3" s="56"/>
      <c r="H3" s="56"/>
    </row>
    <row r="4" spans="1:8" s="55" customFormat="1" ht="20.25" customHeight="1" x14ac:dyDescent="0.25">
      <c r="A4" s="56"/>
      <c r="B4" s="56"/>
      <c r="C4" s="57"/>
      <c r="D4" s="56"/>
      <c r="E4" s="56"/>
      <c r="F4" s="56"/>
      <c r="G4" s="56"/>
      <c r="H4" s="56"/>
    </row>
    <row r="5" spans="1:8" s="55" customFormat="1" ht="18" customHeight="1" x14ac:dyDescent="0.3">
      <c r="A5" s="58" t="s">
        <v>5</v>
      </c>
      <c r="B5" s="59"/>
      <c r="C5" s="78"/>
      <c r="D5" s="59"/>
      <c r="E5" s="79"/>
    </row>
    <row r="6" spans="1:8" s="55" customFormat="1" ht="15" customHeight="1" x14ac:dyDescent="0.25">
      <c r="A6" s="63" t="s">
        <v>56</v>
      </c>
      <c r="C6" s="80"/>
      <c r="E6" s="77"/>
    </row>
    <row r="7" spans="1:8" s="55" customFormat="1" ht="16.5" customHeight="1" x14ac:dyDescent="0.25">
      <c r="A7" s="67"/>
      <c r="C7" s="80"/>
      <c r="E7" s="77"/>
    </row>
    <row r="8" spans="1:8" s="138" customFormat="1" ht="16.5" customHeight="1" x14ac:dyDescent="0.25">
      <c r="A8" s="137" t="s">
        <v>165</v>
      </c>
      <c r="C8" s="139"/>
      <c r="E8" s="140"/>
    </row>
    <row r="9" spans="1:8" s="55" customFormat="1" ht="16.5" customHeight="1" x14ac:dyDescent="0.25">
      <c r="A9" s="67" t="s">
        <v>132</v>
      </c>
      <c r="C9" s="80"/>
      <c r="E9" s="77"/>
    </row>
    <row r="10" spans="1:8" s="55" customFormat="1" ht="8.25" customHeight="1" x14ac:dyDescent="0.25">
      <c r="A10" s="71"/>
      <c r="B10" s="71"/>
      <c r="C10" s="81"/>
      <c r="D10" s="71"/>
      <c r="E10" s="82"/>
    </row>
    <row r="11" spans="1:8" s="55" customFormat="1" ht="15.75" customHeight="1" x14ac:dyDescent="0.25">
      <c r="A11" s="71"/>
      <c r="B11" s="71">
        <v>1</v>
      </c>
      <c r="C11" s="83">
        <v>2</v>
      </c>
      <c r="D11" s="84" t="s">
        <v>128</v>
      </c>
      <c r="E11" s="84" t="s">
        <v>89</v>
      </c>
      <c r="F11" s="71"/>
      <c r="G11" s="71"/>
    </row>
    <row r="12" spans="1:8" s="77" customFormat="1" ht="43.5" x14ac:dyDescent="0.25">
      <c r="A12" s="72" t="s">
        <v>4</v>
      </c>
      <c r="B12" s="72" t="s">
        <v>58</v>
      </c>
      <c r="C12" s="73" t="s">
        <v>86</v>
      </c>
      <c r="D12" s="72" t="s">
        <v>127</v>
      </c>
      <c r="E12" s="75" t="s">
        <v>129</v>
      </c>
      <c r="F12" s="76" t="s">
        <v>0</v>
      </c>
      <c r="G12" s="76" t="s">
        <v>1</v>
      </c>
    </row>
    <row r="13" spans="1:8" s="55" customFormat="1" ht="14.25" customHeight="1" x14ac:dyDescent="0.25">
      <c r="A13" s="85">
        <v>3</v>
      </c>
      <c r="B13" s="85" t="s">
        <v>16</v>
      </c>
      <c r="C13" s="86"/>
      <c r="D13" s="87"/>
      <c r="E13" s="87"/>
      <c r="F13" s="88">
        <f>SUM(F14:F20)</f>
        <v>0</v>
      </c>
      <c r="G13" s="88">
        <f>SUM(G14:G20)</f>
        <v>0</v>
      </c>
    </row>
    <row r="14" spans="1:8" s="55" customFormat="1" ht="14.25" customHeight="1" x14ac:dyDescent="0.25">
      <c r="A14" s="89">
        <v>31</v>
      </c>
      <c r="B14" s="89" t="s">
        <v>6</v>
      </c>
      <c r="C14" s="91">
        <f>SUM(C16:C18)</f>
        <v>16160207.6</v>
      </c>
      <c r="D14" s="91">
        <f>SUM(D16:D18)</f>
        <v>16157938.24</v>
      </c>
      <c r="E14" s="87">
        <f>D14/C14*100</f>
        <v>99.98595711109553</v>
      </c>
      <c r="F14" s="55">
        <v>0</v>
      </c>
      <c r="G14" s="55">
        <v>0</v>
      </c>
    </row>
    <row r="15" spans="1:8" s="55" customFormat="1" ht="14.25" customHeight="1" x14ac:dyDescent="0.25">
      <c r="A15" s="92">
        <v>311</v>
      </c>
      <c r="B15" s="93" t="s">
        <v>7</v>
      </c>
      <c r="C15" s="95"/>
      <c r="D15" s="96"/>
      <c r="E15" s="87"/>
      <c r="F15" s="55">
        <v>0</v>
      </c>
      <c r="G15" s="55">
        <v>0</v>
      </c>
    </row>
    <row r="16" spans="1:8" s="55" customFormat="1" ht="14.25" customHeight="1" x14ac:dyDescent="0.25">
      <c r="A16" s="92">
        <v>3111</v>
      </c>
      <c r="B16" s="97" t="s">
        <v>17</v>
      </c>
      <c r="C16" s="95">
        <v>13299200</v>
      </c>
      <c r="D16" s="96">
        <v>13299166.140000001</v>
      </c>
      <c r="E16" s="87">
        <f t="shared" ref="E16:E78" si="0">D16/C16*100</f>
        <v>99.999745398219446</v>
      </c>
      <c r="F16" s="55">
        <v>0</v>
      </c>
      <c r="G16" s="55">
        <v>0</v>
      </c>
    </row>
    <row r="17" spans="1:7" s="55" customFormat="1" ht="14.25" customHeight="1" x14ac:dyDescent="0.25">
      <c r="A17" s="92">
        <v>3121</v>
      </c>
      <c r="B17" s="93" t="s">
        <v>8</v>
      </c>
      <c r="C17" s="95">
        <v>671007.6</v>
      </c>
      <c r="D17" s="96">
        <f>668889.83+1296</f>
        <v>670185.82999999996</v>
      </c>
      <c r="E17" s="87">
        <f t="shared" si="0"/>
        <v>99.877531938535412</v>
      </c>
    </row>
    <row r="18" spans="1:7" s="55" customFormat="1" ht="14.25" customHeight="1" x14ac:dyDescent="0.25">
      <c r="A18" s="92">
        <v>3132</v>
      </c>
      <c r="B18" s="93" t="s">
        <v>18</v>
      </c>
      <c r="C18" s="95">
        <v>2190000</v>
      </c>
      <c r="D18" s="98">
        <v>2188586.27</v>
      </c>
      <c r="E18" s="87">
        <f t="shared" si="0"/>
        <v>99.935446118721458</v>
      </c>
    </row>
    <row r="19" spans="1:7" s="55" customFormat="1" ht="14.25" customHeight="1" x14ac:dyDescent="0.25">
      <c r="A19" s="92"/>
      <c r="B19" s="93"/>
      <c r="C19" s="95"/>
      <c r="D19" s="98"/>
      <c r="E19" s="87"/>
      <c r="F19" s="55">
        <v>0</v>
      </c>
      <c r="G19" s="55">
        <v>0</v>
      </c>
    </row>
    <row r="20" spans="1:7" s="55" customFormat="1" ht="14.25" customHeight="1" x14ac:dyDescent="0.25">
      <c r="A20" s="92"/>
      <c r="B20" s="99"/>
      <c r="C20" s="95"/>
      <c r="D20" s="101"/>
      <c r="E20" s="87"/>
      <c r="F20" s="55">
        <v>0</v>
      </c>
      <c r="G20" s="55">
        <v>0</v>
      </c>
    </row>
    <row r="21" spans="1:7" s="55" customFormat="1" ht="20.100000000000001" customHeight="1" x14ac:dyDescent="0.25">
      <c r="A21" s="102">
        <v>32</v>
      </c>
      <c r="B21" s="103" t="s">
        <v>9</v>
      </c>
      <c r="C21" s="105">
        <f>SUM(C22+C27+C34+C46)</f>
        <v>375350.34</v>
      </c>
      <c r="D21" s="105">
        <f>SUM(D22+D27+D34+D46)</f>
        <v>363600.38</v>
      </c>
      <c r="E21" s="87">
        <f t="shared" si="0"/>
        <v>96.869601876476253</v>
      </c>
    </row>
    <row r="22" spans="1:7" s="110" customFormat="1" ht="20.100000000000001" customHeight="1" x14ac:dyDescent="0.25">
      <c r="A22" s="106">
        <v>321</v>
      </c>
      <c r="B22" s="107"/>
      <c r="C22" s="109">
        <f>C23+C24+C25+C26</f>
        <v>294000</v>
      </c>
      <c r="D22" s="109">
        <f>D23+D24+D25+D26</f>
        <v>293443.23</v>
      </c>
      <c r="E22" s="87">
        <f t="shared" si="0"/>
        <v>99.810622448979586</v>
      </c>
    </row>
    <row r="23" spans="1:7" s="55" customFormat="1" ht="14.25" customHeight="1" x14ac:dyDescent="0.25">
      <c r="A23" s="92">
        <v>3211</v>
      </c>
      <c r="B23" s="93" t="s">
        <v>19</v>
      </c>
      <c r="C23" s="95"/>
      <c r="D23" s="98"/>
      <c r="E23" s="87" t="e">
        <f t="shared" si="0"/>
        <v>#DIV/0!</v>
      </c>
    </row>
    <row r="24" spans="1:7" s="55" customFormat="1" ht="14.25" customHeight="1" x14ac:dyDescent="0.25">
      <c r="A24" s="92">
        <v>3212</v>
      </c>
      <c r="B24" s="93" t="s">
        <v>20</v>
      </c>
      <c r="C24" s="95">
        <v>294000</v>
      </c>
      <c r="D24" s="98">
        <v>293443.23</v>
      </c>
      <c r="E24" s="87">
        <f t="shared" si="0"/>
        <v>99.810622448979586</v>
      </c>
    </row>
    <row r="25" spans="1:7" s="55" customFormat="1" ht="14.25" customHeight="1" x14ac:dyDescent="0.25">
      <c r="A25" s="92">
        <v>3213</v>
      </c>
      <c r="B25" s="93" t="s">
        <v>21</v>
      </c>
      <c r="C25" s="95"/>
      <c r="D25" s="98"/>
      <c r="E25" s="87" t="e">
        <f t="shared" si="0"/>
        <v>#DIV/0!</v>
      </c>
    </row>
    <row r="26" spans="1:7" s="55" customFormat="1" ht="14.25" customHeight="1" x14ac:dyDescent="0.25">
      <c r="A26" s="92">
        <v>3214</v>
      </c>
      <c r="B26" s="93" t="s">
        <v>22</v>
      </c>
      <c r="C26" s="95"/>
      <c r="D26" s="98"/>
      <c r="E26" s="87" t="e">
        <f t="shared" si="0"/>
        <v>#DIV/0!</v>
      </c>
    </row>
    <row r="27" spans="1:7" s="110" customFormat="1" ht="14.25" customHeight="1" x14ac:dyDescent="0.25">
      <c r="A27" s="106">
        <v>322</v>
      </c>
      <c r="B27" s="111"/>
      <c r="C27" s="109">
        <f>C28+C29+C30+C31+C32+C33</f>
        <v>13261.34</v>
      </c>
      <c r="D27" s="109">
        <f>D28+D29+D30+D31+D32+D33</f>
        <v>8261.34</v>
      </c>
      <c r="E27" s="87">
        <f t="shared" si="0"/>
        <v>62.296419517183033</v>
      </c>
    </row>
    <row r="28" spans="1:7" s="55" customFormat="1" ht="14.25" customHeight="1" x14ac:dyDescent="0.25">
      <c r="A28" s="92">
        <v>3221</v>
      </c>
      <c r="B28" s="93" t="s">
        <v>23</v>
      </c>
      <c r="C28" s="95">
        <v>10024.36</v>
      </c>
      <c r="D28" s="98">
        <f>3067.02+1957.34</f>
        <v>5024.3599999999997</v>
      </c>
      <c r="E28" s="87">
        <f t="shared" si="0"/>
        <v>50.121504016216491</v>
      </c>
    </row>
    <row r="29" spans="1:7" s="55" customFormat="1" ht="14.25" customHeight="1" x14ac:dyDescent="0.25">
      <c r="A29" s="92">
        <v>3222</v>
      </c>
      <c r="B29" s="93" t="s">
        <v>24</v>
      </c>
      <c r="C29" s="95"/>
      <c r="D29" s="98"/>
      <c r="E29" s="87" t="e">
        <f t="shared" si="0"/>
        <v>#DIV/0!</v>
      </c>
    </row>
    <row r="30" spans="1:7" s="55" customFormat="1" ht="14.25" customHeight="1" x14ac:dyDescent="0.25">
      <c r="A30" s="92">
        <v>3223</v>
      </c>
      <c r="B30" s="93" t="s">
        <v>25</v>
      </c>
      <c r="C30" s="95"/>
      <c r="D30" s="98"/>
      <c r="E30" s="87" t="e">
        <f t="shared" si="0"/>
        <v>#DIV/0!</v>
      </c>
      <c r="F30" s="55">
        <v>0</v>
      </c>
      <c r="G30" s="55">
        <v>0</v>
      </c>
    </row>
    <row r="31" spans="1:7" s="55" customFormat="1" ht="14.25" customHeight="1" x14ac:dyDescent="0.25">
      <c r="A31" s="92">
        <v>3224</v>
      </c>
      <c r="B31" s="93" t="s">
        <v>26</v>
      </c>
      <c r="C31" s="95"/>
      <c r="D31" s="98"/>
      <c r="E31" s="87" t="e">
        <f t="shared" si="0"/>
        <v>#DIV/0!</v>
      </c>
      <c r="F31" s="55">
        <v>0</v>
      </c>
      <c r="G31" s="55">
        <v>0</v>
      </c>
    </row>
    <row r="32" spans="1:7" s="55" customFormat="1" ht="14.25" customHeight="1" x14ac:dyDescent="0.25">
      <c r="A32" s="92">
        <v>3225</v>
      </c>
      <c r="B32" s="93" t="s">
        <v>27</v>
      </c>
      <c r="C32" s="95">
        <v>3236.98</v>
      </c>
      <c r="D32" s="98">
        <f>2887.98+349</f>
        <v>3236.98</v>
      </c>
      <c r="E32" s="87">
        <f t="shared" si="0"/>
        <v>100</v>
      </c>
    </row>
    <row r="33" spans="1:7" s="55" customFormat="1" ht="14.25" customHeight="1" x14ac:dyDescent="0.25">
      <c r="A33" s="92">
        <v>3227</v>
      </c>
      <c r="B33" s="93" t="s">
        <v>28</v>
      </c>
      <c r="C33" s="95"/>
      <c r="D33" s="98"/>
      <c r="E33" s="87" t="e">
        <f t="shared" si="0"/>
        <v>#DIV/0!</v>
      </c>
    </row>
    <row r="34" spans="1:7" s="110" customFormat="1" ht="14.25" customHeight="1" x14ac:dyDescent="0.25">
      <c r="A34" s="106">
        <v>323</v>
      </c>
      <c r="B34" s="111"/>
      <c r="C34" s="109">
        <f>C35+C36+C37+C38+C39+C40+C41+C42+C43</f>
        <v>22681.27</v>
      </c>
      <c r="D34" s="109">
        <f>D35+D36+D37+D38+D39+D40+D41+D42+D43</f>
        <v>16488.080000000002</v>
      </c>
      <c r="E34" s="87">
        <f t="shared" si="0"/>
        <v>72.694694785609457</v>
      </c>
    </row>
    <row r="35" spans="1:7" s="55" customFormat="1" ht="14.25" customHeight="1" x14ac:dyDescent="0.25">
      <c r="A35" s="92">
        <v>3231</v>
      </c>
      <c r="B35" s="93" t="s">
        <v>29</v>
      </c>
      <c r="C35" s="95">
        <v>601.27</v>
      </c>
      <c r="D35" s="98">
        <v>601.27</v>
      </c>
      <c r="E35" s="87">
        <f t="shared" si="0"/>
        <v>100</v>
      </c>
    </row>
    <row r="36" spans="1:7" s="55" customFormat="1" ht="14.25" customHeight="1" x14ac:dyDescent="0.25">
      <c r="A36" s="92">
        <v>3232</v>
      </c>
      <c r="B36" s="93" t="s">
        <v>30</v>
      </c>
      <c r="C36" s="95"/>
      <c r="D36" s="98"/>
      <c r="E36" s="87" t="e">
        <f t="shared" si="0"/>
        <v>#DIV/0!</v>
      </c>
    </row>
    <row r="37" spans="1:7" s="55" customFormat="1" ht="14.25" customHeight="1" x14ac:dyDescent="0.25">
      <c r="A37" s="92">
        <v>3233</v>
      </c>
      <c r="B37" s="93" t="s">
        <v>31</v>
      </c>
      <c r="C37" s="95"/>
      <c r="D37" s="98"/>
      <c r="E37" s="87" t="e">
        <f t="shared" si="0"/>
        <v>#DIV/0!</v>
      </c>
    </row>
    <row r="38" spans="1:7" s="55" customFormat="1" ht="14.25" customHeight="1" x14ac:dyDescent="0.25">
      <c r="A38" s="92">
        <v>3234</v>
      </c>
      <c r="B38" s="93" t="s">
        <v>32</v>
      </c>
      <c r="C38" s="95"/>
      <c r="D38" s="98"/>
      <c r="E38" s="87" t="e">
        <f t="shared" si="0"/>
        <v>#DIV/0!</v>
      </c>
    </row>
    <row r="39" spans="1:7" s="55" customFormat="1" ht="14.25" customHeight="1" x14ac:dyDescent="0.25">
      <c r="A39" s="92">
        <v>3235</v>
      </c>
      <c r="B39" s="93" t="s">
        <v>33</v>
      </c>
      <c r="C39" s="95"/>
      <c r="D39" s="98"/>
      <c r="E39" s="87" t="e">
        <f t="shared" si="0"/>
        <v>#DIV/0!</v>
      </c>
    </row>
    <row r="40" spans="1:7" s="55" customFormat="1" ht="14.25" customHeight="1" x14ac:dyDescent="0.25">
      <c r="A40" s="92">
        <v>3236</v>
      </c>
      <c r="B40" s="93" t="s">
        <v>34</v>
      </c>
      <c r="C40" s="95">
        <v>13980</v>
      </c>
      <c r="D40" s="98">
        <v>7830</v>
      </c>
      <c r="E40" s="87">
        <f t="shared" si="0"/>
        <v>56.008583690987123</v>
      </c>
      <c r="F40" s="55">
        <v>0</v>
      </c>
      <c r="G40" s="55">
        <v>0</v>
      </c>
    </row>
    <row r="41" spans="1:7" s="55" customFormat="1" ht="14.25" customHeight="1" x14ac:dyDescent="0.25">
      <c r="A41" s="92">
        <v>3237</v>
      </c>
      <c r="B41" s="93" t="s">
        <v>35</v>
      </c>
      <c r="C41" s="95">
        <v>8100</v>
      </c>
      <c r="D41" s="98">
        <v>8056.81</v>
      </c>
      <c r="E41" s="87">
        <f t="shared" si="0"/>
        <v>99.466790123456789</v>
      </c>
      <c r="F41" s="55">
        <v>0</v>
      </c>
      <c r="G41" s="55">
        <v>0</v>
      </c>
    </row>
    <row r="42" spans="1:7" s="55" customFormat="1" ht="14.25" customHeight="1" x14ac:dyDescent="0.25">
      <c r="A42" s="92">
        <v>3238</v>
      </c>
      <c r="B42" s="93" t="s">
        <v>36</v>
      </c>
      <c r="C42" s="95"/>
      <c r="D42" s="98"/>
      <c r="E42" s="87" t="e">
        <f t="shared" si="0"/>
        <v>#DIV/0!</v>
      </c>
    </row>
    <row r="43" spans="1:7" s="55" customFormat="1" ht="14.25" customHeight="1" x14ac:dyDescent="0.25">
      <c r="A43" s="92">
        <v>3239</v>
      </c>
      <c r="B43" s="93" t="s">
        <v>37</v>
      </c>
      <c r="C43" s="95"/>
      <c r="D43" s="98"/>
      <c r="E43" s="87" t="e">
        <f t="shared" si="0"/>
        <v>#DIV/0!</v>
      </c>
    </row>
    <row r="44" spans="1:7" s="55" customFormat="1" ht="14.25" customHeight="1" x14ac:dyDescent="0.25">
      <c r="A44" s="92"/>
      <c r="B44" s="93"/>
      <c r="C44" s="95"/>
      <c r="D44" s="98"/>
      <c r="E44" s="87" t="e">
        <f t="shared" si="0"/>
        <v>#DIV/0!</v>
      </c>
    </row>
    <row r="45" spans="1:7" s="55" customFormat="1" ht="14.25" customHeight="1" x14ac:dyDescent="0.25">
      <c r="A45" s="92">
        <v>3241</v>
      </c>
      <c r="B45" s="93" t="s">
        <v>10</v>
      </c>
      <c r="C45" s="95"/>
      <c r="D45" s="101"/>
      <c r="E45" s="87" t="e">
        <f t="shared" si="0"/>
        <v>#DIV/0!</v>
      </c>
    </row>
    <row r="46" spans="1:7" s="110" customFormat="1" ht="14.25" customHeight="1" x14ac:dyDescent="0.25">
      <c r="A46" s="106">
        <v>329</v>
      </c>
      <c r="B46" s="111"/>
      <c r="C46" s="109">
        <f>C47+C48+C49+C50+C51+C52</f>
        <v>45407.73</v>
      </c>
      <c r="D46" s="109">
        <f>D47+D48+D49+D50+D51+D52</f>
        <v>45407.73</v>
      </c>
      <c r="E46" s="87">
        <f t="shared" si="0"/>
        <v>100</v>
      </c>
    </row>
    <row r="47" spans="1:7" s="55" customFormat="1" ht="14.25" customHeight="1" x14ac:dyDescent="0.25">
      <c r="A47" s="92">
        <v>3291</v>
      </c>
      <c r="B47" s="93" t="s">
        <v>38</v>
      </c>
      <c r="C47" s="95">
        <v>2328.73</v>
      </c>
      <c r="D47" s="112">
        <v>2328.73</v>
      </c>
      <c r="E47" s="87">
        <f t="shared" si="0"/>
        <v>100</v>
      </c>
    </row>
    <row r="48" spans="1:7" s="55" customFormat="1" ht="14.25" customHeight="1" x14ac:dyDescent="0.25">
      <c r="A48" s="92">
        <v>3292</v>
      </c>
      <c r="B48" s="93" t="s">
        <v>39</v>
      </c>
      <c r="C48" s="95"/>
      <c r="D48" s="113"/>
      <c r="E48" s="87" t="e">
        <f t="shared" si="0"/>
        <v>#DIV/0!</v>
      </c>
    </row>
    <row r="49" spans="1:7" s="55" customFormat="1" ht="14.25" customHeight="1" x14ac:dyDescent="0.25">
      <c r="A49" s="92">
        <v>3293</v>
      </c>
      <c r="B49" s="93" t="s">
        <v>40</v>
      </c>
      <c r="C49" s="95"/>
      <c r="D49" s="113"/>
      <c r="E49" s="87" t="e">
        <f t="shared" si="0"/>
        <v>#DIV/0!</v>
      </c>
      <c r="F49" s="55">
        <v>0</v>
      </c>
      <c r="G49" s="55">
        <v>0</v>
      </c>
    </row>
    <row r="50" spans="1:7" s="55" customFormat="1" ht="14.25" customHeight="1" x14ac:dyDescent="0.25">
      <c r="A50" s="92">
        <v>3294</v>
      </c>
      <c r="B50" s="93" t="s">
        <v>41</v>
      </c>
      <c r="C50" s="95"/>
      <c r="D50" s="113"/>
      <c r="E50" s="87" t="e">
        <f t="shared" si="0"/>
        <v>#DIV/0!</v>
      </c>
      <c r="F50" s="55">
        <v>0</v>
      </c>
      <c r="G50" s="55">
        <v>0</v>
      </c>
    </row>
    <row r="51" spans="1:7" s="55" customFormat="1" ht="14.25" customHeight="1" x14ac:dyDescent="0.25">
      <c r="A51" s="92">
        <v>3295</v>
      </c>
      <c r="B51" s="93" t="s">
        <v>42</v>
      </c>
      <c r="C51" s="95">
        <v>42775</v>
      </c>
      <c r="D51" s="114">
        <v>42775</v>
      </c>
      <c r="E51" s="87">
        <f t="shared" si="0"/>
        <v>100</v>
      </c>
    </row>
    <row r="52" spans="1:7" s="55" customFormat="1" ht="14.25" customHeight="1" x14ac:dyDescent="0.25">
      <c r="A52" s="92">
        <v>3299</v>
      </c>
      <c r="B52" s="93" t="s">
        <v>11</v>
      </c>
      <c r="C52" s="95">
        <v>304</v>
      </c>
      <c r="D52" s="114">
        <v>304</v>
      </c>
      <c r="E52" s="87">
        <f t="shared" si="0"/>
        <v>100</v>
      </c>
    </row>
    <row r="53" spans="1:7" s="55" customFormat="1" ht="14.25" customHeight="1" x14ac:dyDescent="0.25">
      <c r="A53" s="92"/>
      <c r="B53" s="93"/>
      <c r="C53" s="95"/>
      <c r="D53" s="114"/>
      <c r="E53" s="87"/>
    </row>
    <row r="54" spans="1:7" s="55" customFormat="1" ht="15" x14ac:dyDescent="0.25">
      <c r="A54" s="92"/>
      <c r="B54" s="93"/>
      <c r="C54" s="95"/>
      <c r="D54" s="114"/>
      <c r="E54" s="87"/>
    </row>
    <row r="55" spans="1:7" s="110" customFormat="1" ht="15" x14ac:dyDescent="0.25">
      <c r="A55" s="106">
        <v>343</v>
      </c>
      <c r="B55" s="107" t="s">
        <v>53</v>
      </c>
      <c r="C55" s="109">
        <f>SUM(C56:C58)</f>
        <v>0</v>
      </c>
      <c r="D55" s="109">
        <f t="shared" ref="D55" si="1">SUM(D56:D58)</f>
        <v>0</v>
      </c>
      <c r="E55" s="87" t="e">
        <f t="shared" si="0"/>
        <v>#DIV/0!</v>
      </c>
    </row>
    <row r="56" spans="1:7" s="55" customFormat="1" ht="15" x14ac:dyDescent="0.25">
      <c r="A56" s="92">
        <v>3431</v>
      </c>
      <c r="B56" s="93" t="s">
        <v>43</v>
      </c>
      <c r="C56" s="95"/>
      <c r="D56" s="114"/>
      <c r="E56" s="87" t="e">
        <f t="shared" si="0"/>
        <v>#DIV/0!</v>
      </c>
    </row>
    <row r="57" spans="1:7" s="55" customFormat="1" ht="15" x14ac:dyDescent="0.25">
      <c r="A57" s="92">
        <v>3432</v>
      </c>
      <c r="B57" s="93" t="s">
        <v>44</v>
      </c>
      <c r="C57" s="95"/>
      <c r="D57" s="114"/>
      <c r="E57" s="87" t="e">
        <f t="shared" si="0"/>
        <v>#DIV/0!</v>
      </c>
    </row>
    <row r="58" spans="1:7" s="55" customFormat="1" ht="15" x14ac:dyDescent="0.25">
      <c r="A58" s="92">
        <v>3433</v>
      </c>
      <c r="B58" s="93" t="s">
        <v>45</v>
      </c>
      <c r="C58" s="95"/>
      <c r="D58" s="114"/>
      <c r="E58" s="87" t="e">
        <f t="shared" si="0"/>
        <v>#DIV/0!</v>
      </c>
    </row>
    <row r="59" spans="1:7" s="55" customFormat="1" ht="15" x14ac:dyDescent="0.25">
      <c r="A59" s="92"/>
      <c r="B59" s="93"/>
      <c r="C59" s="95"/>
      <c r="D59" s="114"/>
      <c r="E59" s="87"/>
    </row>
    <row r="60" spans="1:7" s="55" customFormat="1" ht="45" customHeight="1" x14ac:dyDescent="0.25">
      <c r="A60" s="115">
        <v>369</v>
      </c>
      <c r="B60" s="116" t="s">
        <v>124</v>
      </c>
      <c r="C60" s="117">
        <f t="shared" ref="C60:D60" si="2">C61</f>
        <v>0</v>
      </c>
      <c r="D60" s="117">
        <f t="shared" si="2"/>
        <v>0</v>
      </c>
      <c r="E60" s="87" t="e">
        <f t="shared" si="0"/>
        <v>#DIV/0!</v>
      </c>
    </row>
    <row r="61" spans="1:7" s="55" customFormat="1" ht="45" customHeight="1" x14ac:dyDescent="0.25">
      <c r="A61" s="92">
        <v>3693</v>
      </c>
      <c r="B61" s="118" t="s">
        <v>125</v>
      </c>
      <c r="C61" s="95"/>
      <c r="D61" s="114"/>
      <c r="E61" s="87"/>
    </row>
    <row r="62" spans="1:7" s="55" customFormat="1" ht="15" x14ac:dyDescent="0.25">
      <c r="A62" s="92"/>
      <c r="B62" s="93"/>
      <c r="C62" s="95"/>
      <c r="D62" s="114"/>
      <c r="E62" s="87"/>
    </row>
    <row r="63" spans="1:7" s="110" customFormat="1" ht="15" x14ac:dyDescent="0.25">
      <c r="A63" s="106">
        <v>372</v>
      </c>
      <c r="B63" s="119" t="s">
        <v>54</v>
      </c>
      <c r="C63" s="109">
        <f>C64</f>
        <v>373016.21</v>
      </c>
      <c r="D63" s="109">
        <f>D64</f>
        <v>373016.21</v>
      </c>
      <c r="E63" s="87">
        <f t="shared" si="0"/>
        <v>100</v>
      </c>
    </row>
    <row r="64" spans="1:7" s="55" customFormat="1" ht="15" x14ac:dyDescent="0.25">
      <c r="A64" s="92" t="s">
        <v>15</v>
      </c>
      <c r="B64" s="93" t="s">
        <v>46</v>
      </c>
      <c r="C64" s="95">
        <v>373016.21</v>
      </c>
      <c r="D64" s="114">
        <v>373016.21</v>
      </c>
      <c r="E64" s="87">
        <f t="shared" si="0"/>
        <v>100</v>
      </c>
    </row>
    <row r="65" spans="1:5" s="55" customFormat="1" ht="15" x14ac:dyDescent="0.25">
      <c r="A65" s="92"/>
      <c r="B65" s="93"/>
      <c r="C65" s="95"/>
      <c r="D65" s="114"/>
      <c r="E65" s="87"/>
    </row>
    <row r="66" spans="1:5" s="110" customFormat="1" ht="15" x14ac:dyDescent="0.25">
      <c r="A66" s="106">
        <v>422</v>
      </c>
      <c r="B66" s="119" t="s">
        <v>55</v>
      </c>
      <c r="C66" s="109">
        <f>SUM(C67:C71)</f>
        <v>0</v>
      </c>
      <c r="D66" s="109">
        <f>SUM(D67:D71)</f>
        <v>0</v>
      </c>
      <c r="E66" s="87" t="e">
        <f t="shared" si="0"/>
        <v>#DIV/0!</v>
      </c>
    </row>
    <row r="67" spans="1:5" s="55" customFormat="1" ht="15" x14ac:dyDescent="0.25">
      <c r="A67" s="92">
        <v>4221</v>
      </c>
      <c r="B67" s="97" t="s">
        <v>47</v>
      </c>
      <c r="C67" s="95"/>
      <c r="D67" s="114"/>
      <c r="E67" s="87" t="e">
        <f t="shared" si="0"/>
        <v>#DIV/0!</v>
      </c>
    </row>
    <row r="68" spans="1:5" s="55" customFormat="1" ht="15" x14ac:dyDescent="0.25">
      <c r="A68" s="92">
        <v>4222</v>
      </c>
      <c r="B68" s="97" t="s">
        <v>48</v>
      </c>
      <c r="C68" s="95"/>
      <c r="D68" s="114"/>
      <c r="E68" s="87" t="e">
        <f t="shared" si="0"/>
        <v>#DIV/0!</v>
      </c>
    </row>
    <row r="69" spans="1:5" s="55" customFormat="1" ht="15" x14ac:dyDescent="0.25">
      <c r="A69" s="92">
        <v>4223</v>
      </c>
      <c r="B69" s="97" t="s">
        <v>49</v>
      </c>
      <c r="C69" s="95"/>
      <c r="D69" s="114"/>
      <c r="E69" s="87" t="e">
        <f t="shared" si="0"/>
        <v>#DIV/0!</v>
      </c>
    </row>
    <row r="70" spans="1:5" s="55" customFormat="1" ht="15" x14ac:dyDescent="0.25">
      <c r="A70" s="92">
        <v>4226</v>
      </c>
      <c r="B70" s="97" t="s">
        <v>50</v>
      </c>
      <c r="C70" s="95"/>
      <c r="D70" s="114"/>
      <c r="E70" s="87" t="e">
        <f t="shared" si="0"/>
        <v>#DIV/0!</v>
      </c>
    </row>
    <row r="71" spans="1:5" s="55" customFormat="1" ht="30" x14ac:dyDescent="0.25">
      <c r="A71" s="92">
        <v>4227</v>
      </c>
      <c r="B71" s="120" t="s">
        <v>51</v>
      </c>
      <c r="C71" s="95"/>
      <c r="D71" s="96"/>
      <c r="E71" s="87" t="e">
        <f t="shared" si="0"/>
        <v>#DIV/0!</v>
      </c>
    </row>
    <row r="72" spans="1:5" s="55" customFormat="1" ht="15" x14ac:dyDescent="0.25">
      <c r="A72" s="92"/>
      <c r="B72" s="120"/>
      <c r="C72" s="95"/>
      <c r="D72" s="114"/>
      <c r="E72" s="87"/>
    </row>
    <row r="73" spans="1:5" s="55" customFormat="1" ht="15" x14ac:dyDescent="0.25">
      <c r="A73" s="92">
        <v>4241</v>
      </c>
      <c r="B73" s="97" t="s">
        <v>52</v>
      </c>
      <c r="C73" s="105">
        <v>57217.08</v>
      </c>
      <c r="D73" s="123">
        <v>57217.08</v>
      </c>
      <c r="E73" s="87">
        <f t="shared" si="0"/>
        <v>100</v>
      </c>
    </row>
    <row r="74" spans="1:5" s="55" customFormat="1" ht="15" x14ac:dyDescent="0.25">
      <c r="A74" s="102">
        <v>45</v>
      </c>
      <c r="B74" s="103" t="s">
        <v>13</v>
      </c>
      <c r="C74" s="105">
        <f>SUM(C75:C76)</f>
        <v>0</v>
      </c>
      <c r="D74" s="105">
        <f>SUM(D75:D76)</f>
        <v>0</v>
      </c>
      <c r="E74" s="87" t="e">
        <f t="shared" si="0"/>
        <v>#DIV/0!</v>
      </c>
    </row>
    <row r="75" spans="1:5" s="55" customFormat="1" ht="15" x14ac:dyDescent="0.25">
      <c r="A75" s="92">
        <v>4511</v>
      </c>
      <c r="B75" s="97" t="s">
        <v>12</v>
      </c>
      <c r="C75" s="95"/>
      <c r="D75" s="114"/>
      <c r="E75" s="87" t="e">
        <f t="shared" si="0"/>
        <v>#DIV/0!</v>
      </c>
    </row>
    <row r="76" spans="1:5" s="55" customFormat="1" ht="15" x14ac:dyDescent="0.25">
      <c r="A76" s="124">
        <v>4521</v>
      </c>
      <c r="B76" s="125" t="s">
        <v>14</v>
      </c>
      <c r="C76" s="127"/>
      <c r="D76" s="114"/>
      <c r="E76" s="87" t="e">
        <f t="shared" si="0"/>
        <v>#DIV/0!</v>
      </c>
    </row>
    <row r="77" spans="1:5" s="55" customFormat="1" ht="15" x14ac:dyDescent="0.25">
      <c r="A77" s="128"/>
      <c r="B77" s="129" t="s">
        <v>2</v>
      </c>
      <c r="C77" s="130">
        <f>SUM(C16:C18)+SUM(C23:C26)+SUM(C28:C33)+SUM(C35:C43)+SUM(C47:C52)+SUM(C56:C58)+C64+SUM(C67:C71)+C73+SUM(C75:C76)+C45</f>
        <v>16965791.229999997</v>
      </c>
      <c r="D77" s="130">
        <f>SUM(D16:D18)+SUM(D23:D26)+SUM(D28:D33)+SUM(D35:D43)+SUM(D47:D52)+SUM(D56:D58)+D64+SUM(D67:D71)+D73+SUM(D75:D76)</f>
        <v>16951771.91</v>
      </c>
      <c r="E77" s="87">
        <f>D77/C77*100</f>
        <v>99.917367131246976</v>
      </c>
    </row>
    <row r="78" spans="1:5" s="55" customFormat="1" ht="15" x14ac:dyDescent="0.25">
      <c r="A78" s="131"/>
      <c r="B78" s="132" t="s">
        <v>3</v>
      </c>
      <c r="C78" s="130">
        <f>C14+C21+C55+C63+C66+C73+C74+C45</f>
        <v>16965791.229999997</v>
      </c>
      <c r="D78" s="130">
        <f>D14+D21+D55+D63+D66+D73+D74</f>
        <v>16951771.91</v>
      </c>
      <c r="E78" s="87">
        <f t="shared" si="0"/>
        <v>99.917367131246976</v>
      </c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="150" zoomScaleNormal="150" workbookViewId="0">
      <pane xSplit="1" topLeftCell="B1" activePane="topRight" state="frozen"/>
      <selection activeCell="K22" sqref="K22"/>
      <selection pane="topRight" activeCell="D44" sqref="D44"/>
    </sheetView>
  </sheetViews>
  <sheetFormatPr defaultRowHeight="14.25" x14ac:dyDescent="0.2"/>
  <cols>
    <col min="1" max="1" width="11.140625" style="4" customWidth="1"/>
    <col min="2" max="2" width="29" style="5" customWidth="1"/>
    <col min="3" max="3" width="18.7109375" style="2" customWidth="1"/>
    <col min="4" max="4" width="19.85546875" style="1" customWidth="1"/>
    <col min="5" max="5" width="13.42578125" style="1" customWidth="1"/>
    <col min="6" max="7" width="0" style="1" hidden="1" customWidth="1"/>
    <col min="8" max="8" width="10.42578125" style="1" customWidth="1"/>
    <col min="9" max="10" width="9.140625" style="1"/>
    <col min="11" max="11" width="13.85546875" style="1" customWidth="1"/>
    <col min="12" max="16384" width="9.140625" style="1"/>
  </cols>
  <sheetData>
    <row r="1" spans="1:11" s="55" customFormat="1" ht="15" x14ac:dyDescent="0.25">
      <c r="A1" s="54"/>
      <c r="B1" s="216"/>
      <c r="C1" s="216"/>
      <c r="D1" s="216"/>
      <c r="E1" s="216"/>
    </row>
    <row r="2" spans="1:11" s="55" customFormat="1" ht="24.75" customHeight="1" x14ac:dyDescent="0.35">
      <c r="A2" s="217" t="s">
        <v>123</v>
      </c>
      <c r="B2" s="218"/>
      <c r="C2" s="218"/>
      <c r="D2" s="218"/>
      <c r="E2" s="218"/>
      <c r="F2" s="56"/>
      <c r="G2" s="56"/>
      <c r="H2" s="56"/>
    </row>
    <row r="3" spans="1:11" s="55" customFormat="1" ht="20.25" customHeight="1" x14ac:dyDescent="0.25">
      <c r="A3" s="56"/>
      <c r="B3" s="219" t="s">
        <v>126</v>
      </c>
      <c r="C3" s="219"/>
      <c r="D3" s="219"/>
      <c r="E3" s="219"/>
      <c r="F3" s="56"/>
      <c r="G3" s="56"/>
      <c r="H3" s="56"/>
    </row>
    <row r="4" spans="1:11" s="55" customFormat="1" ht="20.25" customHeight="1" x14ac:dyDescent="0.25">
      <c r="A4" s="56"/>
      <c r="B4" s="56"/>
      <c r="C4" s="57"/>
      <c r="D4" s="56"/>
      <c r="E4" s="56"/>
      <c r="F4" s="56"/>
      <c r="G4" s="56"/>
      <c r="H4" s="56"/>
    </row>
    <row r="5" spans="1:11" s="55" customFormat="1" ht="18" customHeight="1" x14ac:dyDescent="0.3">
      <c r="A5" s="58" t="s">
        <v>5</v>
      </c>
      <c r="B5" s="59"/>
      <c r="C5" s="78"/>
      <c r="D5" s="59"/>
      <c r="E5" s="79"/>
    </row>
    <row r="6" spans="1:11" s="55" customFormat="1" ht="15" customHeight="1" x14ac:dyDescent="0.25">
      <c r="A6" s="63" t="s">
        <v>56</v>
      </c>
      <c r="C6" s="80"/>
      <c r="E6" s="77"/>
    </row>
    <row r="7" spans="1:11" s="55" customFormat="1" ht="16.5" customHeight="1" x14ac:dyDescent="0.25">
      <c r="A7" s="67"/>
      <c r="C7" s="80"/>
      <c r="E7" s="77"/>
    </row>
    <row r="8" spans="1:11" s="138" customFormat="1" ht="16.5" customHeight="1" x14ac:dyDescent="0.25">
      <c r="A8" s="137" t="s">
        <v>166</v>
      </c>
      <c r="C8" s="139"/>
      <c r="E8" s="140"/>
    </row>
    <row r="9" spans="1:11" s="55" customFormat="1" ht="16.5" customHeight="1" x14ac:dyDescent="0.25">
      <c r="A9" s="67" t="s">
        <v>132</v>
      </c>
      <c r="C9" s="80"/>
      <c r="E9" s="77"/>
    </row>
    <row r="10" spans="1:11" s="55" customFormat="1" ht="8.25" customHeight="1" x14ac:dyDescent="0.25">
      <c r="A10" s="71"/>
      <c r="B10" s="71"/>
      <c r="C10" s="81"/>
      <c r="D10" s="71"/>
      <c r="E10" s="82"/>
    </row>
    <row r="11" spans="1:11" s="55" customFormat="1" ht="15.75" customHeight="1" x14ac:dyDescent="0.25">
      <c r="A11" s="71"/>
      <c r="B11" s="71">
        <v>1</v>
      </c>
      <c r="C11" s="83">
        <v>2</v>
      </c>
      <c r="D11" s="84" t="s">
        <v>128</v>
      </c>
      <c r="E11" s="84" t="s">
        <v>89</v>
      </c>
      <c r="F11" s="71"/>
      <c r="G11" s="71"/>
    </row>
    <row r="12" spans="1:11" s="77" customFormat="1" ht="43.5" x14ac:dyDescent="0.25">
      <c r="A12" s="72" t="s">
        <v>4</v>
      </c>
      <c r="B12" s="72" t="s">
        <v>58</v>
      </c>
      <c r="C12" s="73" t="s">
        <v>86</v>
      </c>
      <c r="D12" s="72" t="s">
        <v>127</v>
      </c>
      <c r="E12" s="75" t="s">
        <v>129</v>
      </c>
      <c r="F12" s="76" t="s">
        <v>0</v>
      </c>
      <c r="G12" s="76" t="s">
        <v>1</v>
      </c>
    </row>
    <row r="13" spans="1:11" s="55" customFormat="1" ht="14.25" customHeight="1" x14ac:dyDescent="0.25">
      <c r="A13" s="85">
        <v>3</v>
      </c>
      <c r="B13" s="85" t="s">
        <v>16</v>
      </c>
      <c r="C13" s="86"/>
      <c r="D13" s="87"/>
      <c r="E13" s="87"/>
      <c r="F13" s="88">
        <f>SUM(F14:F20)</f>
        <v>0</v>
      </c>
      <c r="G13" s="88">
        <f>SUM(G14:G20)</f>
        <v>0</v>
      </c>
    </row>
    <row r="14" spans="1:11" s="55" customFormat="1" ht="14.25" customHeight="1" x14ac:dyDescent="0.25">
      <c r="A14" s="89">
        <v>31</v>
      </c>
      <c r="B14" s="89" t="s">
        <v>6</v>
      </c>
      <c r="C14" s="91">
        <f>SUM(C16:C18)</f>
        <v>459261.05</v>
      </c>
      <c r="D14" s="91">
        <f>SUM(D16:D18)</f>
        <v>459261.05</v>
      </c>
      <c r="E14" s="87">
        <f>D14/C14*100</f>
        <v>100</v>
      </c>
      <c r="F14" s="55">
        <v>0</v>
      </c>
      <c r="G14" s="55">
        <v>0</v>
      </c>
    </row>
    <row r="15" spans="1:11" s="55" customFormat="1" ht="14.25" customHeight="1" x14ac:dyDescent="0.25">
      <c r="A15" s="92">
        <v>311</v>
      </c>
      <c r="B15" s="93" t="s">
        <v>7</v>
      </c>
      <c r="C15" s="95"/>
      <c r="D15" s="96"/>
      <c r="E15" s="87"/>
      <c r="F15" s="55">
        <v>0</v>
      </c>
      <c r="G15" s="55">
        <v>0</v>
      </c>
    </row>
    <row r="16" spans="1:11" s="55" customFormat="1" ht="14.25" customHeight="1" x14ac:dyDescent="0.25">
      <c r="A16" s="92">
        <v>3111</v>
      </c>
      <c r="B16" s="97" t="s">
        <v>17</v>
      </c>
      <c r="C16" s="95">
        <v>408347.31</v>
      </c>
      <c r="D16" s="96">
        <v>408347.31</v>
      </c>
      <c r="E16" s="87">
        <f t="shared" ref="E16:E78" si="0">D16/C16*100</f>
        <v>100</v>
      </c>
      <c r="F16" s="55">
        <v>0</v>
      </c>
      <c r="G16" s="55">
        <v>0</v>
      </c>
      <c r="K16" s="114"/>
    </row>
    <row r="17" spans="1:7" s="55" customFormat="1" ht="14.25" customHeight="1" x14ac:dyDescent="0.25">
      <c r="A17" s="92">
        <v>3121</v>
      </c>
      <c r="B17" s="93" t="s">
        <v>8</v>
      </c>
      <c r="C17" s="95"/>
      <c r="D17" s="96"/>
      <c r="E17" s="87" t="e">
        <f t="shared" si="0"/>
        <v>#DIV/0!</v>
      </c>
    </row>
    <row r="18" spans="1:7" s="55" customFormat="1" ht="14.25" customHeight="1" x14ac:dyDescent="0.25">
      <c r="A18" s="92">
        <v>3132</v>
      </c>
      <c r="B18" s="93" t="s">
        <v>18</v>
      </c>
      <c r="C18" s="95">
        <v>50913.74</v>
      </c>
      <c r="D18" s="98">
        <v>50913.74</v>
      </c>
      <c r="E18" s="87">
        <f t="shared" si="0"/>
        <v>100</v>
      </c>
    </row>
    <row r="19" spans="1:7" s="55" customFormat="1" ht="14.25" customHeight="1" x14ac:dyDescent="0.25">
      <c r="A19" s="92"/>
      <c r="B19" s="93"/>
      <c r="C19" s="95"/>
      <c r="D19" s="98"/>
      <c r="E19" s="87"/>
      <c r="F19" s="55">
        <v>0</v>
      </c>
      <c r="G19" s="55">
        <v>0</v>
      </c>
    </row>
    <row r="20" spans="1:7" s="55" customFormat="1" ht="14.25" customHeight="1" x14ac:dyDescent="0.25">
      <c r="A20" s="92"/>
      <c r="B20" s="99"/>
      <c r="C20" s="95"/>
      <c r="D20" s="101"/>
      <c r="E20" s="87"/>
      <c r="F20" s="55">
        <v>0</v>
      </c>
      <c r="G20" s="55">
        <v>0</v>
      </c>
    </row>
    <row r="21" spans="1:7" s="55" customFormat="1" ht="20.100000000000001" customHeight="1" x14ac:dyDescent="0.25">
      <c r="A21" s="102">
        <v>32</v>
      </c>
      <c r="B21" s="103" t="s">
        <v>9</v>
      </c>
      <c r="C21" s="105">
        <f>SUM(C22+C27+C34+C46)</f>
        <v>123763.20000000001</v>
      </c>
      <c r="D21" s="105">
        <f>SUM(D22+D27+D34+D46)</f>
        <v>123763.20000000001</v>
      </c>
      <c r="E21" s="87">
        <f t="shared" si="0"/>
        <v>100</v>
      </c>
    </row>
    <row r="22" spans="1:7" s="110" customFormat="1" ht="20.100000000000001" customHeight="1" x14ac:dyDescent="0.25">
      <c r="A22" s="106">
        <v>321</v>
      </c>
      <c r="B22" s="107"/>
      <c r="C22" s="109">
        <f>C23+C24+C25+C26</f>
        <v>0</v>
      </c>
      <c r="D22" s="109">
        <f>D23+D24+D25+D26</f>
        <v>0</v>
      </c>
      <c r="E22" s="87" t="e">
        <f t="shared" si="0"/>
        <v>#DIV/0!</v>
      </c>
    </row>
    <row r="23" spans="1:7" s="55" customFormat="1" ht="14.25" customHeight="1" x14ac:dyDescent="0.25">
      <c r="A23" s="92">
        <v>3211</v>
      </c>
      <c r="B23" s="93" t="s">
        <v>19</v>
      </c>
      <c r="C23" s="95"/>
      <c r="D23" s="98"/>
      <c r="E23" s="87" t="e">
        <f t="shared" si="0"/>
        <v>#DIV/0!</v>
      </c>
    </row>
    <row r="24" spans="1:7" s="55" customFormat="1" ht="14.25" customHeight="1" x14ac:dyDescent="0.25">
      <c r="A24" s="92">
        <v>3212</v>
      </c>
      <c r="B24" s="93" t="s">
        <v>20</v>
      </c>
      <c r="C24" s="95"/>
      <c r="D24" s="98"/>
      <c r="E24" s="87" t="e">
        <f t="shared" si="0"/>
        <v>#DIV/0!</v>
      </c>
    </row>
    <row r="25" spans="1:7" s="55" customFormat="1" ht="14.25" customHeight="1" x14ac:dyDescent="0.25">
      <c r="A25" s="92">
        <v>3213</v>
      </c>
      <c r="B25" s="93" t="s">
        <v>21</v>
      </c>
      <c r="C25" s="95"/>
      <c r="D25" s="98"/>
      <c r="E25" s="87" t="e">
        <f t="shared" si="0"/>
        <v>#DIV/0!</v>
      </c>
    </row>
    <row r="26" spans="1:7" s="55" customFormat="1" ht="14.25" customHeight="1" x14ac:dyDescent="0.25">
      <c r="A26" s="92">
        <v>3214</v>
      </c>
      <c r="B26" s="93" t="s">
        <v>22</v>
      </c>
      <c r="C26" s="95"/>
      <c r="D26" s="98"/>
      <c r="E26" s="87" t="e">
        <f t="shared" si="0"/>
        <v>#DIV/0!</v>
      </c>
    </row>
    <row r="27" spans="1:7" s="110" customFormat="1" ht="14.25" customHeight="1" x14ac:dyDescent="0.25">
      <c r="A27" s="106">
        <v>322</v>
      </c>
      <c r="B27" s="111"/>
      <c r="C27" s="109">
        <f>C28+C29+C30+C31+C32+C33</f>
        <v>117578.35</v>
      </c>
      <c r="D27" s="109">
        <f>D28+D29+D30+D31+D32+D33</f>
        <v>117578.35</v>
      </c>
      <c r="E27" s="87">
        <f t="shared" si="0"/>
        <v>100</v>
      </c>
    </row>
    <row r="28" spans="1:7" s="55" customFormat="1" ht="14.25" customHeight="1" x14ac:dyDescent="0.25">
      <c r="A28" s="92">
        <v>3221</v>
      </c>
      <c r="B28" s="93" t="s">
        <v>23</v>
      </c>
      <c r="C28" s="95"/>
      <c r="D28" s="98"/>
      <c r="E28" s="87" t="e">
        <f t="shared" si="0"/>
        <v>#DIV/0!</v>
      </c>
    </row>
    <row r="29" spans="1:7" s="55" customFormat="1" ht="14.25" customHeight="1" x14ac:dyDescent="0.25">
      <c r="A29" s="92">
        <v>3222</v>
      </c>
      <c r="B29" s="93" t="s">
        <v>24</v>
      </c>
      <c r="C29" s="95">
        <v>117578.35</v>
      </c>
      <c r="D29" s="98">
        <f>48157.88+69420.47</f>
        <v>117578.35</v>
      </c>
      <c r="E29" s="87">
        <f t="shared" si="0"/>
        <v>100</v>
      </c>
    </row>
    <row r="30" spans="1:7" s="55" customFormat="1" ht="14.25" customHeight="1" x14ac:dyDescent="0.25">
      <c r="A30" s="92">
        <v>3223</v>
      </c>
      <c r="B30" s="93" t="s">
        <v>25</v>
      </c>
      <c r="C30" s="95"/>
      <c r="D30" s="98"/>
      <c r="E30" s="87" t="e">
        <f t="shared" si="0"/>
        <v>#DIV/0!</v>
      </c>
      <c r="F30" s="55">
        <v>0</v>
      </c>
      <c r="G30" s="55">
        <v>0</v>
      </c>
    </row>
    <row r="31" spans="1:7" s="55" customFormat="1" ht="14.25" customHeight="1" x14ac:dyDescent="0.25">
      <c r="A31" s="92">
        <v>3224</v>
      </c>
      <c r="B31" s="93" t="s">
        <v>26</v>
      </c>
      <c r="C31" s="95"/>
      <c r="D31" s="98"/>
      <c r="E31" s="87" t="e">
        <f t="shared" si="0"/>
        <v>#DIV/0!</v>
      </c>
      <c r="F31" s="55">
        <v>0</v>
      </c>
      <c r="G31" s="55">
        <v>0</v>
      </c>
    </row>
    <row r="32" spans="1:7" s="55" customFormat="1" ht="14.25" customHeight="1" x14ac:dyDescent="0.25">
      <c r="A32" s="92">
        <v>3225</v>
      </c>
      <c r="B32" s="93" t="s">
        <v>27</v>
      </c>
      <c r="C32" s="95"/>
      <c r="D32" s="98"/>
      <c r="E32" s="87" t="e">
        <f t="shared" si="0"/>
        <v>#DIV/0!</v>
      </c>
    </row>
    <row r="33" spans="1:7" s="55" customFormat="1" ht="14.25" customHeight="1" x14ac:dyDescent="0.25">
      <c r="A33" s="92">
        <v>3227</v>
      </c>
      <c r="B33" s="93" t="s">
        <v>28</v>
      </c>
      <c r="C33" s="95"/>
      <c r="D33" s="98"/>
      <c r="E33" s="87" t="e">
        <f t="shared" si="0"/>
        <v>#DIV/0!</v>
      </c>
    </row>
    <row r="34" spans="1:7" s="110" customFormat="1" ht="14.25" customHeight="1" x14ac:dyDescent="0.25">
      <c r="A34" s="106">
        <v>323</v>
      </c>
      <c r="B34" s="111"/>
      <c r="C34" s="109">
        <f>C35+C36+C37+C38+C39+C40+C41+C42+C43</f>
        <v>6184.85</v>
      </c>
      <c r="D34" s="109">
        <f>D35+D36+D37+D38+D39+D40+D41+D42+D43</f>
        <v>6184.85</v>
      </c>
      <c r="E34" s="87">
        <f t="shared" si="0"/>
        <v>100</v>
      </c>
    </row>
    <row r="35" spans="1:7" s="55" customFormat="1" ht="14.25" customHeight="1" x14ac:dyDescent="0.25">
      <c r="A35" s="92">
        <v>3231</v>
      </c>
      <c r="B35" s="93" t="s">
        <v>29</v>
      </c>
      <c r="C35" s="95"/>
      <c r="D35" s="98"/>
      <c r="E35" s="87" t="e">
        <f t="shared" si="0"/>
        <v>#DIV/0!</v>
      </c>
    </row>
    <row r="36" spans="1:7" s="55" customFormat="1" ht="14.25" customHeight="1" x14ac:dyDescent="0.25">
      <c r="A36" s="92">
        <v>3232</v>
      </c>
      <c r="B36" s="93" t="s">
        <v>30</v>
      </c>
      <c r="C36" s="95"/>
      <c r="D36" s="98"/>
      <c r="E36" s="87" t="e">
        <f t="shared" si="0"/>
        <v>#DIV/0!</v>
      </c>
    </row>
    <row r="37" spans="1:7" s="55" customFormat="1" ht="14.25" customHeight="1" x14ac:dyDescent="0.25">
      <c r="A37" s="92">
        <v>3233</v>
      </c>
      <c r="B37" s="93" t="s">
        <v>31</v>
      </c>
      <c r="C37" s="95"/>
      <c r="D37" s="98"/>
      <c r="E37" s="87" t="e">
        <f t="shared" si="0"/>
        <v>#DIV/0!</v>
      </c>
    </row>
    <row r="38" spans="1:7" s="55" customFormat="1" ht="14.25" customHeight="1" x14ac:dyDescent="0.25">
      <c r="A38" s="92">
        <v>3234</v>
      </c>
      <c r="B38" s="93" t="s">
        <v>32</v>
      </c>
      <c r="C38" s="95"/>
      <c r="D38" s="98"/>
      <c r="E38" s="87" t="e">
        <f t="shared" si="0"/>
        <v>#DIV/0!</v>
      </c>
    </row>
    <row r="39" spans="1:7" s="55" customFormat="1" ht="14.25" customHeight="1" x14ac:dyDescent="0.25">
      <c r="A39" s="92">
        <v>3235</v>
      </c>
      <c r="B39" s="93" t="s">
        <v>33</v>
      </c>
      <c r="C39" s="95"/>
      <c r="D39" s="98"/>
      <c r="E39" s="87" t="e">
        <f t="shared" si="0"/>
        <v>#DIV/0!</v>
      </c>
    </row>
    <row r="40" spans="1:7" s="55" customFormat="1" ht="14.25" customHeight="1" x14ac:dyDescent="0.25">
      <c r="A40" s="92">
        <v>3236</v>
      </c>
      <c r="B40" s="93" t="s">
        <v>34</v>
      </c>
      <c r="C40" s="95"/>
      <c r="D40" s="98"/>
      <c r="E40" s="87" t="e">
        <f t="shared" si="0"/>
        <v>#DIV/0!</v>
      </c>
      <c r="F40" s="55">
        <v>0</v>
      </c>
      <c r="G40" s="55">
        <v>0</v>
      </c>
    </row>
    <row r="41" spans="1:7" s="55" customFormat="1" ht="14.25" customHeight="1" x14ac:dyDescent="0.25">
      <c r="A41" s="92">
        <v>3237</v>
      </c>
      <c r="B41" s="93" t="s">
        <v>35</v>
      </c>
      <c r="C41" s="95"/>
      <c r="D41" s="98"/>
      <c r="E41" s="87" t="e">
        <f t="shared" si="0"/>
        <v>#DIV/0!</v>
      </c>
      <c r="F41" s="55">
        <v>0</v>
      </c>
      <c r="G41" s="55">
        <v>0</v>
      </c>
    </row>
    <row r="42" spans="1:7" s="55" customFormat="1" ht="14.25" customHeight="1" x14ac:dyDescent="0.25">
      <c r="A42" s="92">
        <v>3238</v>
      </c>
      <c r="B42" s="93" t="s">
        <v>36</v>
      </c>
      <c r="C42" s="95"/>
      <c r="D42" s="98"/>
      <c r="E42" s="87" t="e">
        <f t="shared" si="0"/>
        <v>#DIV/0!</v>
      </c>
    </row>
    <row r="43" spans="1:7" s="55" customFormat="1" ht="14.25" customHeight="1" x14ac:dyDescent="0.25">
      <c r="A43" s="92">
        <v>3239</v>
      </c>
      <c r="B43" s="93" t="s">
        <v>37</v>
      </c>
      <c r="C43" s="95">
        <v>6184.85</v>
      </c>
      <c r="D43" s="98">
        <v>6184.85</v>
      </c>
      <c r="E43" s="87">
        <f t="shared" si="0"/>
        <v>100</v>
      </c>
    </row>
    <row r="44" spans="1:7" s="55" customFormat="1" ht="14.25" customHeight="1" x14ac:dyDescent="0.25">
      <c r="A44" s="92"/>
      <c r="B44" s="93"/>
      <c r="C44" s="95"/>
      <c r="D44" s="98"/>
      <c r="E44" s="87" t="e">
        <f t="shared" si="0"/>
        <v>#DIV/0!</v>
      </c>
    </row>
    <row r="45" spans="1:7" s="55" customFormat="1" ht="14.25" customHeight="1" x14ac:dyDescent="0.25">
      <c r="A45" s="92">
        <v>3241</v>
      </c>
      <c r="B45" s="93" t="s">
        <v>10</v>
      </c>
      <c r="C45" s="95"/>
      <c r="D45" s="101"/>
      <c r="E45" s="87" t="e">
        <f t="shared" si="0"/>
        <v>#DIV/0!</v>
      </c>
    </row>
    <row r="46" spans="1:7" s="110" customFormat="1" ht="14.25" customHeight="1" x14ac:dyDescent="0.25">
      <c r="A46" s="106">
        <v>329</v>
      </c>
      <c r="B46" s="111"/>
      <c r="C46" s="109">
        <f>C47+C48+C49+C50+C51+C52</f>
        <v>0</v>
      </c>
      <c r="D46" s="109">
        <f>D47+D48+D49+D50+D51+D52</f>
        <v>0</v>
      </c>
      <c r="E46" s="87" t="e">
        <f t="shared" si="0"/>
        <v>#DIV/0!</v>
      </c>
    </row>
    <row r="47" spans="1:7" s="55" customFormat="1" ht="14.25" customHeight="1" x14ac:dyDescent="0.25">
      <c r="A47" s="92">
        <v>3291</v>
      </c>
      <c r="B47" s="93" t="s">
        <v>38</v>
      </c>
      <c r="C47" s="95"/>
      <c r="D47" s="112"/>
      <c r="E47" s="87" t="e">
        <f t="shared" si="0"/>
        <v>#DIV/0!</v>
      </c>
    </row>
    <row r="48" spans="1:7" s="55" customFormat="1" ht="14.25" customHeight="1" x14ac:dyDescent="0.25">
      <c r="A48" s="92">
        <v>3292</v>
      </c>
      <c r="B48" s="93" t="s">
        <v>39</v>
      </c>
      <c r="C48" s="95"/>
      <c r="D48" s="113"/>
      <c r="E48" s="87" t="e">
        <f t="shared" si="0"/>
        <v>#DIV/0!</v>
      </c>
    </row>
    <row r="49" spans="1:7" s="55" customFormat="1" ht="14.25" customHeight="1" x14ac:dyDescent="0.25">
      <c r="A49" s="92">
        <v>3293</v>
      </c>
      <c r="B49" s="93" t="s">
        <v>40</v>
      </c>
      <c r="C49" s="95"/>
      <c r="D49" s="113"/>
      <c r="E49" s="87" t="e">
        <f t="shared" si="0"/>
        <v>#DIV/0!</v>
      </c>
      <c r="F49" s="55">
        <v>0</v>
      </c>
      <c r="G49" s="55">
        <v>0</v>
      </c>
    </row>
    <row r="50" spans="1:7" s="55" customFormat="1" ht="14.25" customHeight="1" x14ac:dyDescent="0.25">
      <c r="A50" s="92">
        <v>3294</v>
      </c>
      <c r="B50" s="93" t="s">
        <v>41</v>
      </c>
      <c r="C50" s="95"/>
      <c r="D50" s="113"/>
      <c r="E50" s="87" t="e">
        <f t="shared" si="0"/>
        <v>#DIV/0!</v>
      </c>
      <c r="F50" s="55">
        <v>0</v>
      </c>
      <c r="G50" s="55">
        <v>0</v>
      </c>
    </row>
    <row r="51" spans="1:7" s="55" customFormat="1" ht="14.25" customHeight="1" x14ac:dyDescent="0.25">
      <c r="A51" s="92">
        <v>3295</v>
      </c>
      <c r="B51" s="93" t="s">
        <v>42</v>
      </c>
      <c r="C51" s="95"/>
      <c r="D51" s="114"/>
      <c r="E51" s="87" t="e">
        <f t="shared" si="0"/>
        <v>#DIV/0!</v>
      </c>
    </row>
    <row r="52" spans="1:7" s="55" customFormat="1" ht="14.25" customHeight="1" x14ac:dyDescent="0.25">
      <c r="A52" s="92">
        <v>3299</v>
      </c>
      <c r="B52" s="93" t="s">
        <v>11</v>
      </c>
      <c r="C52" s="95"/>
      <c r="D52" s="114"/>
      <c r="E52" s="87" t="e">
        <f t="shared" si="0"/>
        <v>#DIV/0!</v>
      </c>
    </row>
    <row r="53" spans="1:7" s="55" customFormat="1" ht="14.25" customHeight="1" x14ac:dyDescent="0.25">
      <c r="A53" s="92"/>
      <c r="B53" s="93"/>
      <c r="C53" s="95"/>
      <c r="D53" s="114"/>
      <c r="E53" s="87"/>
    </row>
    <row r="54" spans="1:7" s="55" customFormat="1" ht="15" x14ac:dyDescent="0.25">
      <c r="A54" s="92"/>
      <c r="B54" s="93"/>
      <c r="C54" s="95"/>
      <c r="D54" s="114"/>
      <c r="E54" s="87"/>
    </row>
    <row r="55" spans="1:7" s="110" customFormat="1" ht="15" x14ac:dyDescent="0.25">
      <c r="A55" s="106">
        <v>343</v>
      </c>
      <c r="B55" s="107" t="s">
        <v>53</v>
      </c>
      <c r="C55" s="109">
        <f>SUM(C56:C58)</f>
        <v>0</v>
      </c>
      <c r="D55" s="109">
        <f t="shared" ref="D55" si="1">SUM(D56:D58)</f>
        <v>0</v>
      </c>
      <c r="E55" s="87" t="e">
        <f t="shared" si="0"/>
        <v>#DIV/0!</v>
      </c>
    </row>
    <row r="56" spans="1:7" s="55" customFormat="1" ht="15" x14ac:dyDescent="0.25">
      <c r="A56" s="92">
        <v>3431</v>
      </c>
      <c r="B56" s="93" t="s">
        <v>43</v>
      </c>
      <c r="C56" s="95"/>
      <c r="D56" s="114"/>
      <c r="E56" s="87" t="e">
        <f t="shared" si="0"/>
        <v>#DIV/0!</v>
      </c>
    </row>
    <row r="57" spans="1:7" s="55" customFormat="1" ht="15" x14ac:dyDescent="0.25">
      <c r="A57" s="92">
        <v>3432</v>
      </c>
      <c r="B57" s="93" t="s">
        <v>44</v>
      </c>
      <c r="C57" s="95"/>
      <c r="D57" s="114"/>
      <c r="E57" s="87" t="e">
        <f t="shared" si="0"/>
        <v>#DIV/0!</v>
      </c>
    </row>
    <row r="58" spans="1:7" s="55" customFormat="1" ht="15" x14ac:dyDescent="0.25">
      <c r="A58" s="92">
        <v>3433</v>
      </c>
      <c r="B58" s="93" t="s">
        <v>45</v>
      </c>
      <c r="C58" s="95"/>
      <c r="D58" s="114"/>
      <c r="E58" s="87" t="e">
        <f t="shared" si="0"/>
        <v>#DIV/0!</v>
      </c>
    </row>
    <row r="59" spans="1:7" s="55" customFormat="1" ht="15" x14ac:dyDescent="0.25">
      <c r="A59" s="92"/>
      <c r="B59" s="93"/>
      <c r="C59" s="95"/>
      <c r="D59" s="114"/>
      <c r="E59" s="87"/>
    </row>
    <row r="60" spans="1:7" s="55" customFormat="1" ht="45" customHeight="1" x14ac:dyDescent="0.25">
      <c r="A60" s="115">
        <v>369</v>
      </c>
      <c r="B60" s="116" t="s">
        <v>124</v>
      </c>
      <c r="C60" s="117">
        <f t="shared" ref="C60:D60" si="2">C61</f>
        <v>0</v>
      </c>
      <c r="D60" s="117">
        <f t="shared" si="2"/>
        <v>0</v>
      </c>
      <c r="E60" s="87" t="e">
        <f t="shared" si="0"/>
        <v>#DIV/0!</v>
      </c>
    </row>
    <row r="61" spans="1:7" s="55" customFormat="1" ht="45" customHeight="1" x14ac:dyDescent="0.25">
      <c r="A61" s="92">
        <v>3693</v>
      </c>
      <c r="B61" s="118" t="s">
        <v>125</v>
      </c>
      <c r="C61" s="95"/>
      <c r="D61" s="114"/>
      <c r="E61" s="87"/>
    </row>
    <row r="62" spans="1:7" s="55" customFormat="1" ht="15" x14ac:dyDescent="0.25">
      <c r="A62" s="92"/>
      <c r="B62" s="93"/>
      <c r="C62" s="95"/>
      <c r="D62" s="114"/>
      <c r="E62" s="87"/>
    </row>
    <row r="63" spans="1:7" s="110" customFormat="1" ht="15" x14ac:dyDescent="0.25">
      <c r="A63" s="106">
        <v>372</v>
      </c>
      <c r="B63" s="119" t="s">
        <v>54</v>
      </c>
      <c r="C63" s="109">
        <f>C64</f>
        <v>0</v>
      </c>
      <c r="D63" s="109">
        <f>D64</f>
        <v>0</v>
      </c>
      <c r="E63" s="87" t="e">
        <f t="shared" si="0"/>
        <v>#DIV/0!</v>
      </c>
    </row>
    <row r="64" spans="1:7" s="55" customFormat="1" ht="15" x14ac:dyDescent="0.25">
      <c r="A64" s="92" t="s">
        <v>15</v>
      </c>
      <c r="B64" s="93" t="s">
        <v>46</v>
      </c>
      <c r="C64" s="95"/>
      <c r="D64" s="114"/>
      <c r="E64" s="87" t="e">
        <f t="shared" si="0"/>
        <v>#DIV/0!</v>
      </c>
    </row>
    <row r="65" spans="1:5" s="55" customFormat="1" ht="15" x14ac:dyDescent="0.25">
      <c r="A65" s="92"/>
      <c r="B65" s="93"/>
      <c r="C65" s="95"/>
      <c r="D65" s="114"/>
      <c r="E65" s="87"/>
    </row>
    <row r="66" spans="1:5" s="110" customFormat="1" ht="15" x14ac:dyDescent="0.25">
      <c r="A66" s="106">
        <v>422</v>
      </c>
      <c r="B66" s="119" t="s">
        <v>55</v>
      </c>
      <c r="C66" s="109">
        <f>SUM(C67:C71)</f>
        <v>0</v>
      </c>
      <c r="D66" s="109">
        <f>SUM(D67:D71)</f>
        <v>0</v>
      </c>
      <c r="E66" s="87" t="e">
        <f t="shared" si="0"/>
        <v>#DIV/0!</v>
      </c>
    </row>
    <row r="67" spans="1:5" s="55" customFormat="1" ht="15" x14ac:dyDescent="0.25">
      <c r="A67" s="92">
        <v>4221</v>
      </c>
      <c r="B67" s="97" t="s">
        <v>47</v>
      </c>
      <c r="C67" s="95"/>
      <c r="D67" s="114"/>
      <c r="E67" s="87" t="e">
        <f t="shared" si="0"/>
        <v>#DIV/0!</v>
      </c>
    </row>
    <row r="68" spans="1:5" s="55" customFormat="1" ht="15" x14ac:dyDescent="0.25">
      <c r="A68" s="92">
        <v>4222</v>
      </c>
      <c r="B68" s="97" t="s">
        <v>48</v>
      </c>
      <c r="C68" s="95"/>
      <c r="D68" s="114"/>
      <c r="E68" s="87" t="e">
        <f t="shared" si="0"/>
        <v>#DIV/0!</v>
      </c>
    </row>
    <row r="69" spans="1:5" s="55" customFormat="1" ht="15" x14ac:dyDescent="0.25">
      <c r="A69" s="92">
        <v>4223</v>
      </c>
      <c r="B69" s="97" t="s">
        <v>49</v>
      </c>
      <c r="C69" s="95"/>
      <c r="D69" s="114"/>
      <c r="E69" s="87" t="e">
        <f t="shared" si="0"/>
        <v>#DIV/0!</v>
      </c>
    </row>
    <row r="70" spans="1:5" s="55" customFormat="1" ht="15" x14ac:dyDescent="0.25">
      <c r="A70" s="92">
        <v>4226</v>
      </c>
      <c r="B70" s="97" t="s">
        <v>50</v>
      </c>
      <c r="C70" s="95"/>
      <c r="D70" s="114"/>
      <c r="E70" s="87" t="e">
        <f t="shared" si="0"/>
        <v>#DIV/0!</v>
      </c>
    </row>
    <row r="71" spans="1:5" s="55" customFormat="1" ht="30" x14ac:dyDescent="0.25">
      <c r="A71" s="92">
        <v>4227</v>
      </c>
      <c r="B71" s="120" t="s">
        <v>51</v>
      </c>
      <c r="C71" s="95"/>
      <c r="D71" s="96"/>
      <c r="E71" s="87" t="e">
        <f t="shared" si="0"/>
        <v>#DIV/0!</v>
      </c>
    </row>
    <row r="72" spans="1:5" s="55" customFormat="1" ht="15" x14ac:dyDescent="0.25">
      <c r="A72" s="92"/>
      <c r="B72" s="120"/>
      <c r="C72" s="95"/>
      <c r="D72" s="114"/>
      <c r="E72" s="87"/>
    </row>
    <row r="73" spans="1:5" s="55" customFormat="1" ht="15" x14ac:dyDescent="0.25">
      <c r="A73" s="92">
        <v>4241</v>
      </c>
      <c r="B73" s="97" t="s">
        <v>52</v>
      </c>
      <c r="C73" s="105"/>
      <c r="D73" s="123"/>
      <c r="E73" s="87" t="e">
        <f t="shared" si="0"/>
        <v>#DIV/0!</v>
      </c>
    </row>
    <row r="74" spans="1:5" s="55" customFormat="1" ht="15" x14ac:dyDescent="0.25">
      <c r="A74" s="102">
        <v>45</v>
      </c>
      <c r="B74" s="103" t="s">
        <v>13</v>
      </c>
      <c r="C74" s="105">
        <f>SUM(C75:C76)</f>
        <v>0</v>
      </c>
      <c r="D74" s="105">
        <f>SUM(D75:D76)</f>
        <v>0</v>
      </c>
      <c r="E74" s="87" t="e">
        <f t="shared" si="0"/>
        <v>#DIV/0!</v>
      </c>
    </row>
    <row r="75" spans="1:5" s="55" customFormat="1" ht="15" x14ac:dyDescent="0.25">
      <c r="A75" s="92">
        <v>4511</v>
      </c>
      <c r="B75" s="97" t="s">
        <v>12</v>
      </c>
      <c r="C75" s="95"/>
      <c r="D75" s="114"/>
      <c r="E75" s="87" t="e">
        <f t="shared" si="0"/>
        <v>#DIV/0!</v>
      </c>
    </row>
    <row r="76" spans="1:5" s="55" customFormat="1" ht="15" x14ac:dyDescent="0.25">
      <c r="A76" s="124">
        <v>4521</v>
      </c>
      <c r="B76" s="125" t="s">
        <v>14</v>
      </c>
      <c r="C76" s="127"/>
      <c r="D76" s="114"/>
      <c r="E76" s="87" t="e">
        <f t="shared" si="0"/>
        <v>#DIV/0!</v>
      </c>
    </row>
    <row r="77" spans="1:5" s="55" customFormat="1" ht="15" x14ac:dyDescent="0.25">
      <c r="A77" s="128"/>
      <c r="B77" s="129" t="s">
        <v>2</v>
      </c>
      <c r="C77" s="130">
        <f>SUM(C16:C18)+SUM(C23:C26)+SUM(C28:C33)+SUM(C35:C43)+SUM(C47:C52)+SUM(C56:C58)+C64+SUM(C67:C71)+C73+SUM(C75:C76)+C45</f>
        <v>583024.25</v>
      </c>
      <c r="D77" s="130">
        <f>SUM(D16:D18)+SUM(D23:D26)+SUM(D28:D33)+SUM(D35:D43)+SUM(D47:D52)+SUM(D56:D58)+D64+SUM(D67:D71)+D73+SUM(D75:D76)</f>
        <v>583024.25</v>
      </c>
      <c r="E77" s="87">
        <f t="shared" si="0"/>
        <v>100</v>
      </c>
    </row>
    <row r="78" spans="1:5" s="55" customFormat="1" ht="15" x14ac:dyDescent="0.25">
      <c r="A78" s="131"/>
      <c r="B78" s="132" t="s">
        <v>3</v>
      </c>
      <c r="C78" s="130">
        <f>C14+C21+C55+C63+C66+C73+C74+C45</f>
        <v>583024.25</v>
      </c>
      <c r="D78" s="130">
        <f>D14+D21+D55+D63+D66+D73+D74</f>
        <v>583024.25</v>
      </c>
      <c r="E78" s="87">
        <f t="shared" si="0"/>
        <v>100</v>
      </c>
    </row>
    <row r="81" spans="4:4" x14ac:dyDescent="0.2">
      <c r="D81" s="133"/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OPĆI DIO-2022</vt:lpstr>
      <vt:lpstr>PRIH I PRIMICI PO EK KL</vt:lpstr>
      <vt:lpstr>RASH I IZD PO EK KL</vt:lpstr>
      <vt:lpstr>UK PRIH I RASH PO IZV FIN</vt:lpstr>
      <vt:lpstr>1 OPĆI PRIHODI I PRIMICI</vt:lpstr>
      <vt:lpstr>3 VLASTITI PRIHODI</vt:lpstr>
      <vt:lpstr>4 PRIHODI ZA POSEBNE NAMJENE</vt:lpstr>
      <vt:lpstr>5 POMOĆI</vt:lpstr>
      <vt:lpstr>5 POMOĆI SHEMA PMN PREH</vt:lpstr>
      <vt:lpstr>5 POMOĆI HZZ PRIPR ERASMUS</vt:lpstr>
      <vt:lpstr>6 DONACIJE</vt:lpstr>
      <vt:lpstr>VIŠAK PO IZV FIN</vt:lpstr>
      <vt:lpstr>'1 OPĆI PRIHODI I PRIMICI'!Print_Titles</vt:lpstr>
      <vt:lpstr>'3 VLASTITI PRIHODI'!Print_Titles</vt:lpstr>
      <vt:lpstr>'4 PRIHODI ZA POSEBNE NAMJENE'!Print_Titles</vt:lpstr>
      <vt:lpstr>'5 POMOĆI'!Print_Titles</vt:lpstr>
      <vt:lpstr>'5 POMOĆI HZZ PRIPR ERASMUS'!Print_Titles</vt:lpstr>
      <vt:lpstr>'5 POMOĆI SHEMA PMN PREH'!Print_Titles</vt:lpstr>
      <vt:lpstr>'6 DONACIJE'!Print_Titles</vt:lpstr>
      <vt:lpstr>'PRIH I PRIMICI PO EK KL'!Print_Titles</vt:lpstr>
      <vt:lpstr>'RASH I IZD PO EK KL'!Print_Titles</vt:lpstr>
      <vt:lpstr>'UK PRIH I RASH PO IZV FIN'!Print_Titles</vt:lpstr>
    </vt:vector>
  </TitlesOfParts>
  <Company>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Korisnik</cp:lastModifiedBy>
  <cp:lastPrinted>2023-02-27T11:40:52Z</cp:lastPrinted>
  <dcterms:created xsi:type="dcterms:W3CDTF">1996-10-14T23:33:28Z</dcterms:created>
  <dcterms:modified xsi:type="dcterms:W3CDTF">2023-02-27T12:16:01Z</dcterms:modified>
</cp:coreProperties>
</file>