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Korisnik\Documents\2023\IZVJEŠĆA\"/>
    </mc:Choice>
  </mc:AlternateContent>
  <xr:revisionPtr revIDLastSave="0" documentId="13_ncr:1_{73B22D54-E5EE-4BC4-97A5-574FCFCF99A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AŽETAK - Opći dio" sheetId="1" r:id="rId1"/>
    <sheet name="Prihodi i rashodi prema ekonoms" sheetId="2" r:id="rId2"/>
    <sheet name="Fja. klasifikacija" sheetId="6" r:id="rId3"/>
    <sheet name="Prihodi i rashodi prema izvorim" sheetId="3" r:id="rId4"/>
    <sheet name="2023-Izvršenje programska klasi" sheetId="5" r:id="rId5"/>
    <sheet name="Izvršenje po programskoj klasif" sheetId="4" state="hidden" r:id="rId6"/>
  </sheets>
  <definedNames>
    <definedName name="_xlnm._FilterDatabase" localSheetId="4" hidden="1">'2023-Izvršenje programska klasi'!$A$4:$H$266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33" i="2"/>
  <c r="C65" i="2"/>
  <c r="C54" i="2"/>
  <c r="C47" i="2"/>
  <c r="F24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G19" i="3"/>
  <c r="G20" i="3"/>
  <c r="G21" i="3"/>
  <c r="G22" i="3"/>
  <c r="G23" i="3"/>
  <c r="G24" i="3"/>
  <c r="G25" i="3"/>
  <c r="G26" i="3"/>
  <c r="G27" i="3"/>
  <c r="G28" i="3"/>
  <c r="G7" i="3"/>
  <c r="G8" i="3"/>
  <c r="G9" i="3"/>
  <c r="G10" i="3"/>
  <c r="G11" i="3"/>
  <c r="G12" i="3"/>
  <c r="G13" i="3"/>
  <c r="G14" i="3"/>
  <c r="G15" i="3"/>
  <c r="G16" i="3"/>
  <c r="G17" i="3"/>
  <c r="G18" i="3"/>
  <c r="H6" i="3"/>
  <c r="G6" i="3"/>
  <c r="F14" i="3"/>
  <c r="F6" i="3"/>
  <c r="F27" i="3"/>
  <c r="F22" i="3"/>
  <c r="F21" i="3"/>
  <c r="F20" i="3"/>
  <c r="F19" i="3"/>
  <c r="G242" i="5"/>
  <c r="G246" i="5"/>
  <c r="G245" i="5" s="1"/>
  <c r="G244" i="5" s="1"/>
  <c r="G195" i="5"/>
  <c r="G197" i="5"/>
  <c r="G199" i="5"/>
  <c r="G202" i="5"/>
  <c r="G201" i="5" s="1"/>
  <c r="G78" i="5"/>
  <c r="G207" i="5"/>
  <c r="G209" i="5"/>
  <c r="G211" i="5"/>
  <c r="G214" i="5"/>
  <c r="G216" i="5"/>
  <c r="G27" i="5"/>
  <c r="G160" i="5"/>
  <c r="G229" i="5"/>
  <c r="G228" i="5"/>
  <c r="G226" i="5"/>
  <c r="G224" i="5"/>
  <c r="G222" i="5"/>
  <c r="G164" i="5"/>
  <c r="G206" i="5" l="1"/>
  <c r="G213" i="5"/>
  <c r="G194" i="5"/>
  <c r="G221" i="5"/>
  <c r="G220" i="5" s="1"/>
  <c r="C41" i="2"/>
  <c r="G193" i="5"/>
  <c r="G141" i="5"/>
  <c r="H141" i="5" s="1"/>
  <c r="F140" i="5"/>
  <c r="G48" i="5"/>
  <c r="G123" i="5"/>
  <c r="G119" i="5"/>
  <c r="G117" i="5"/>
  <c r="G113" i="5"/>
  <c r="F8" i="3"/>
  <c r="F16" i="3"/>
  <c r="F13" i="3"/>
  <c r="F12" i="3"/>
  <c r="F9" i="3"/>
  <c r="F7" i="3"/>
  <c r="G12" i="6"/>
  <c r="F12" i="6"/>
  <c r="F14" i="6"/>
  <c r="F13" i="6"/>
  <c r="C12" i="6"/>
  <c r="G205" i="5" l="1"/>
  <c r="G140" i="5"/>
  <c r="H140" i="5" s="1"/>
  <c r="D69" i="2"/>
  <c r="D52" i="2"/>
  <c r="D51" i="2"/>
  <c r="Q16" i="1"/>
  <c r="D82" i="2"/>
  <c r="D81" i="2"/>
  <c r="D79" i="2"/>
  <c r="D62" i="2"/>
  <c r="D57" i="2"/>
  <c r="D56" i="2"/>
  <c r="D55" i="2"/>
  <c r="D50" i="2"/>
  <c r="D49" i="2"/>
  <c r="D48" i="2"/>
  <c r="D45" i="2"/>
  <c r="D44" i="2"/>
  <c r="D43" i="2"/>
  <c r="D39" i="2"/>
  <c r="D37" i="2"/>
  <c r="D35" i="2"/>
  <c r="D28" i="2"/>
  <c r="D22" i="2"/>
  <c r="D11" i="2"/>
  <c r="D20" i="2"/>
  <c r="D12" i="2"/>
  <c r="Q15" i="1"/>
  <c r="S14" i="1"/>
  <c r="S17" i="1"/>
  <c r="S18" i="1"/>
  <c r="G14" i="6"/>
  <c r="G13" i="6"/>
  <c r="E12" i="6"/>
  <c r="D12" i="6"/>
  <c r="B12" i="6"/>
  <c r="C18" i="3"/>
  <c r="C23" i="3"/>
  <c r="C74" i="2"/>
  <c r="C75" i="2"/>
  <c r="C73" i="2"/>
  <c r="C72" i="2"/>
  <c r="C68" i="2"/>
  <c r="C69" i="2"/>
  <c r="C67" i="2"/>
  <c r="C56" i="2"/>
  <c r="C57" i="2"/>
  <c r="C58" i="2"/>
  <c r="C59" i="2"/>
  <c r="C60" i="2"/>
  <c r="C61" i="2"/>
  <c r="C62" i="2"/>
  <c r="C55" i="2"/>
  <c r="C49" i="2"/>
  <c r="C50" i="2"/>
  <c r="C51" i="2"/>
  <c r="C52" i="2"/>
  <c r="C53" i="2"/>
  <c r="C48" i="2"/>
  <c r="C44" i="2"/>
  <c r="C45" i="2"/>
  <c r="C46" i="2"/>
  <c r="C43" i="2"/>
  <c r="C40" i="2"/>
  <c r="C39" i="2"/>
  <c r="C37" i="2"/>
  <c r="C35" i="2"/>
  <c r="C20" i="2"/>
  <c r="C19" i="2" s="1"/>
  <c r="C18" i="2" s="1"/>
  <c r="C30" i="2"/>
  <c r="C29" i="2"/>
  <c r="C28" i="2"/>
  <c r="C27" i="2" s="1"/>
  <c r="C26" i="2" s="1"/>
  <c r="C22" i="2"/>
  <c r="C21" i="2" s="1"/>
  <c r="C17" i="2"/>
  <c r="C16" i="2"/>
  <c r="C12" i="2"/>
  <c r="C11" i="2"/>
  <c r="D20" i="3"/>
  <c r="D24" i="3"/>
  <c r="D22" i="3"/>
  <c r="D21" i="3"/>
  <c r="D19" i="3"/>
  <c r="C15" i="2" l="1"/>
  <c r="D16" i="3"/>
  <c r="D14" i="3"/>
  <c r="D13" i="3"/>
  <c r="D12" i="3"/>
  <c r="D11" i="3"/>
  <c r="D10" i="3"/>
  <c r="D9" i="3"/>
  <c r="C27" i="3"/>
  <c r="C26" i="3"/>
  <c r="C24" i="3"/>
  <c r="C22" i="3"/>
  <c r="C21" i="3"/>
  <c r="C20" i="3"/>
  <c r="C19" i="3"/>
  <c r="C16" i="3"/>
  <c r="C14" i="3"/>
  <c r="C13" i="3"/>
  <c r="C12" i="3"/>
  <c r="C11" i="3"/>
  <c r="C10" i="3"/>
  <c r="C9" i="3"/>
  <c r="C8" i="3"/>
  <c r="C7" i="3"/>
  <c r="D8" i="3"/>
  <c r="D7" i="3"/>
  <c r="F245" i="5"/>
  <c r="F244" i="5" s="1"/>
  <c r="F228" i="5"/>
  <c r="G219" i="5"/>
  <c r="F221" i="5"/>
  <c r="F213" i="5"/>
  <c r="G204" i="5"/>
  <c r="F206" i="5"/>
  <c r="F194" i="5"/>
  <c r="F201" i="5"/>
  <c r="G192" i="5"/>
  <c r="F137" i="5"/>
  <c r="F82" i="5"/>
  <c r="G52" i="5"/>
  <c r="F51" i="5"/>
  <c r="F50" i="5" s="1"/>
  <c r="F49" i="5" s="1"/>
  <c r="G26" i="5"/>
  <c r="G25" i="5" s="1"/>
  <c r="G32" i="5"/>
  <c r="B34" i="2"/>
  <c r="B36" i="2"/>
  <c r="B38" i="2"/>
  <c r="B42" i="2"/>
  <c r="B47" i="2"/>
  <c r="B54" i="2"/>
  <c r="B65" i="2"/>
  <c r="B71" i="2"/>
  <c r="B70" i="2" s="1"/>
  <c r="B78" i="2"/>
  <c r="B77" i="2" s="1"/>
  <c r="B76" i="2" s="1"/>
  <c r="E38" i="2"/>
  <c r="C38" i="2"/>
  <c r="G191" i="5" l="1"/>
  <c r="B41" i="2"/>
  <c r="C6" i="3"/>
  <c r="F220" i="5"/>
  <c r="F219" i="5" s="1"/>
  <c r="F193" i="5"/>
  <c r="F192" i="5" s="1"/>
  <c r="F205" i="5"/>
  <c r="F204" i="5" s="1"/>
  <c r="H52" i="5"/>
  <c r="G51" i="5"/>
  <c r="G24" i="5"/>
  <c r="F191" i="5" l="1"/>
  <c r="H51" i="5"/>
  <c r="G50" i="5"/>
  <c r="H50" i="5" l="1"/>
  <c r="G49" i="5"/>
  <c r="H49" i="5" s="1"/>
  <c r="E54" i="2" l="1"/>
  <c r="C42" i="2"/>
  <c r="E42" i="2"/>
  <c r="D15" i="2"/>
  <c r="E15" i="2"/>
  <c r="B15" i="2"/>
  <c r="C78" i="2"/>
  <c r="C77" i="2" s="1"/>
  <c r="C76" i="2" s="1"/>
  <c r="C71" i="2"/>
  <c r="C70" i="2" s="1"/>
  <c r="C36" i="2"/>
  <c r="C34" i="2"/>
  <c r="C13" i="2"/>
  <c r="C10" i="2"/>
  <c r="O29" i="1"/>
  <c r="O28" i="1"/>
  <c r="O15" i="1"/>
  <c r="O17" i="1" s="1"/>
  <c r="O12" i="1"/>
  <c r="O14" i="1" s="1"/>
  <c r="G163" i="5"/>
  <c r="H163" i="5" s="1"/>
  <c r="G157" i="5"/>
  <c r="H157" i="5" s="1"/>
  <c r="G132" i="5"/>
  <c r="H132" i="5" s="1"/>
  <c r="G122" i="5"/>
  <c r="H122" i="5" s="1"/>
  <c r="G118" i="5"/>
  <c r="H118" i="5" s="1"/>
  <c r="G116" i="5"/>
  <c r="H116" i="5" s="1"/>
  <c r="H113" i="5"/>
  <c r="G264" i="5"/>
  <c r="G263" i="5" s="1"/>
  <c r="G261" i="5"/>
  <c r="H261" i="5" s="1"/>
  <c r="G257" i="5"/>
  <c r="H257" i="5" s="1"/>
  <c r="G259" i="5"/>
  <c r="H259" i="5" s="1"/>
  <c r="G251" i="5"/>
  <c r="G250" i="5" s="1"/>
  <c r="G249" i="5" s="1"/>
  <c r="G248" i="5" s="1"/>
  <c r="G241" i="5"/>
  <c r="G240" i="5" s="1"/>
  <c r="G239" i="5" s="1"/>
  <c r="G179" i="5"/>
  <c r="H179" i="5" s="1"/>
  <c r="G173" i="5"/>
  <c r="G172" i="5" s="1"/>
  <c r="G171" i="5" s="1"/>
  <c r="G169" i="5"/>
  <c r="G165" i="5"/>
  <c r="H165" i="5" s="1"/>
  <c r="H160" i="5"/>
  <c r="G186" i="5"/>
  <c r="G185" i="5" s="1"/>
  <c r="G184" i="5" s="1"/>
  <c r="G183" i="5" s="1"/>
  <c r="G150" i="5"/>
  <c r="G152" i="5"/>
  <c r="G145" i="5"/>
  <c r="G144" i="5" s="1"/>
  <c r="G143" i="5" s="1"/>
  <c r="G138" i="5"/>
  <c r="G137" i="5" s="1"/>
  <c r="G135" i="5"/>
  <c r="H135" i="5" s="1"/>
  <c r="G128" i="5"/>
  <c r="H128" i="5" s="1"/>
  <c r="G126" i="5"/>
  <c r="H126" i="5" s="1"/>
  <c r="F250" i="5"/>
  <c r="F249" i="5" s="1"/>
  <c r="F248" i="5" s="1"/>
  <c r="F241" i="5"/>
  <c r="F240" i="5" s="1"/>
  <c r="F239" i="5" s="1"/>
  <c r="F186" i="5"/>
  <c r="F185" i="5" s="1"/>
  <c r="F184" i="5" s="1"/>
  <c r="F183" i="5" s="1"/>
  <c r="F178" i="5"/>
  <c r="F177" i="5" s="1"/>
  <c r="F176" i="5" s="1"/>
  <c r="F156" i="5"/>
  <c r="F155" i="5" s="1"/>
  <c r="F172" i="5"/>
  <c r="F171" i="5" s="1"/>
  <c r="F149" i="5"/>
  <c r="F148" i="5" s="1"/>
  <c r="F147" i="5" s="1"/>
  <c r="H32" i="5"/>
  <c r="G178" i="5" l="1"/>
  <c r="G177" i="5" s="1"/>
  <c r="G176" i="5" s="1"/>
  <c r="H176" i="5" s="1"/>
  <c r="C9" i="2"/>
  <c r="C8" i="2" s="1"/>
  <c r="C7" i="2" s="1"/>
  <c r="O18" i="1"/>
  <c r="C33" i="2"/>
  <c r="H137" i="5"/>
  <c r="G149" i="5"/>
  <c r="G148" i="5" s="1"/>
  <c r="G147" i="5" s="1"/>
  <c r="H239" i="5"/>
  <c r="H171" i="5"/>
  <c r="H264" i="5"/>
  <c r="H145" i="5"/>
  <c r="H242" i="5"/>
  <c r="H173" i="5"/>
  <c r="H240" i="5"/>
  <c r="H172" i="5"/>
  <c r="H138" i="5"/>
  <c r="H241" i="5"/>
  <c r="F154" i="5"/>
  <c r="G112" i="5"/>
  <c r="G256" i="5"/>
  <c r="G156" i="5"/>
  <c r="G231" i="5"/>
  <c r="G121" i="5"/>
  <c r="F231" i="5"/>
  <c r="H178" i="5" l="1"/>
  <c r="H177" i="5"/>
  <c r="G111" i="5"/>
  <c r="C32" i="2"/>
  <c r="C31" i="2" s="1"/>
  <c r="H231" i="5"/>
  <c r="G255" i="5"/>
  <c r="G155" i="5"/>
  <c r="H156" i="5"/>
  <c r="D23" i="3"/>
  <c r="G12" i="2"/>
  <c r="G14" i="2"/>
  <c r="G16" i="2"/>
  <c r="G17" i="2"/>
  <c r="G20" i="2"/>
  <c r="G24" i="2"/>
  <c r="G25" i="2"/>
  <c r="G29" i="2"/>
  <c r="G30" i="2"/>
  <c r="G40" i="2"/>
  <c r="G46" i="2"/>
  <c r="G50" i="2"/>
  <c r="G53" i="2"/>
  <c r="G57" i="2"/>
  <c r="G58" i="2"/>
  <c r="G59" i="2"/>
  <c r="G60" i="2"/>
  <c r="G61" i="2"/>
  <c r="G63" i="2"/>
  <c r="G64" i="2"/>
  <c r="G66" i="2"/>
  <c r="G67" i="2"/>
  <c r="G68" i="2"/>
  <c r="G72" i="2"/>
  <c r="G74" i="2"/>
  <c r="G75" i="2"/>
  <c r="G81" i="2"/>
  <c r="G15" i="2"/>
  <c r="G37" i="2"/>
  <c r="G62" i="2"/>
  <c r="D36" i="2"/>
  <c r="D34" i="2"/>
  <c r="G69" i="2"/>
  <c r="G82" i="2"/>
  <c r="D78" i="2"/>
  <c r="D71" i="2"/>
  <c r="D70" i="2" s="1"/>
  <c r="G56" i="2"/>
  <c r="G52" i="2"/>
  <c r="G51" i="2"/>
  <c r="G49" i="2"/>
  <c r="G48" i="2"/>
  <c r="G45" i="2"/>
  <c r="G44" i="2"/>
  <c r="D10" i="2"/>
  <c r="G28" i="2"/>
  <c r="G22" i="2"/>
  <c r="F144" i="5"/>
  <c r="F121" i="5"/>
  <c r="H121" i="5" s="1"/>
  <c r="F112" i="5"/>
  <c r="H112" i="5" s="1"/>
  <c r="G108" i="5"/>
  <c r="F107" i="5"/>
  <c r="F106" i="5" s="1"/>
  <c r="F105" i="5" s="1"/>
  <c r="G103" i="5"/>
  <c r="H103" i="5" s="1"/>
  <c r="G100" i="5"/>
  <c r="H100" i="5" s="1"/>
  <c r="G95" i="5"/>
  <c r="H95" i="5" s="1"/>
  <c r="G91" i="5"/>
  <c r="H91" i="5" s="1"/>
  <c r="F99" i="5"/>
  <c r="F88" i="5"/>
  <c r="F87" i="5" s="1"/>
  <c r="G89" i="5"/>
  <c r="H89" i="5" s="1"/>
  <c r="G83" i="5"/>
  <c r="G79" i="5"/>
  <c r="H79" i="5" s="1"/>
  <c r="G72" i="5"/>
  <c r="H72" i="5" s="1"/>
  <c r="G66" i="5"/>
  <c r="H66" i="5" s="1"/>
  <c r="G63" i="5"/>
  <c r="H63" i="5" s="1"/>
  <c r="F62" i="5"/>
  <c r="G58" i="5"/>
  <c r="F57" i="5"/>
  <c r="F56" i="5" s="1"/>
  <c r="F55" i="5" s="1"/>
  <c r="G47" i="5"/>
  <c r="F46" i="5"/>
  <c r="F45" i="5" s="1"/>
  <c r="F44" i="5" s="1"/>
  <c r="G42" i="5"/>
  <c r="F41" i="5"/>
  <c r="F40" i="5" s="1"/>
  <c r="F39" i="5" s="1"/>
  <c r="G16" i="5"/>
  <c r="H16" i="5" s="1"/>
  <c r="G14" i="5"/>
  <c r="H14" i="5" s="1"/>
  <c r="G22" i="5"/>
  <c r="G37" i="5"/>
  <c r="F36" i="5"/>
  <c r="F35" i="5" s="1"/>
  <c r="F34" i="5" s="1"/>
  <c r="F26" i="5"/>
  <c r="F25" i="5" s="1"/>
  <c r="F24" i="5" s="1"/>
  <c r="F21" i="5"/>
  <c r="F20" i="5" s="1"/>
  <c r="F19" i="5" s="1"/>
  <c r="F13" i="5"/>
  <c r="F12" i="5" s="1"/>
  <c r="F11" i="5" s="1"/>
  <c r="F10" i="5" s="1"/>
  <c r="F263" i="5"/>
  <c r="H263" i="5" s="1"/>
  <c r="F256" i="5"/>
  <c r="H256" i="5" s="1"/>
  <c r="F23" i="3"/>
  <c r="D23" i="2"/>
  <c r="G23" i="2" s="1"/>
  <c r="E78" i="2"/>
  <c r="E77" i="2" s="1"/>
  <c r="E76" i="2" s="1"/>
  <c r="E71" i="2"/>
  <c r="E70" i="2" s="1"/>
  <c r="E65" i="2"/>
  <c r="E47" i="2"/>
  <c r="E36" i="2"/>
  <c r="E34" i="2"/>
  <c r="E27" i="2"/>
  <c r="E26" i="2" s="1"/>
  <c r="E21" i="2"/>
  <c r="E19" i="2"/>
  <c r="E13" i="2"/>
  <c r="E10" i="2"/>
  <c r="F30" i="2"/>
  <c r="B10" i="2"/>
  <c r="B13" i="2"/>
  <c r="B19" i="2"/>
  <c r="B18" i="2" s="1"/>
  <c r="B21" i="2"/>
  <c r="B27" i="2"/>
  <c r="B26" i="2" s="1"/>
  <c r="D19" i="2"/>
  <c r="D18" i="2" s="1"/>
  <c r="D13" i="2"/>
  <c r="Q17" i="1"/>
  <c r="F16" i="2"/>
  <c r="F11" i="2"/>
  <c r="F20" i="2"/>
  <c r="F22" i="2"/>
  <c r="F28" i="2"/>
  <c r="F29" i="2"/>
  <c r="Q14" i="1"/>
  <c r="M17" i="1"/>
  <c r="M18" i="1" s="1"/>
  <c r="M14" i="1"/>
  <c r="F18" i="5" l="1"/>
  <c r="E41" i="2"/>
  <c r="G36" i="2"/>
  <c r="G13" i="2"/>
  <c r="G73" i="2"/>
  <c r="G34" i="2"/>
  <c r="E33" i="2"/>
  <c r="G55" i="2"/>
  <c r="D54" i="2"/>
  <c r="G54" i="2" s="1"/>
  <c r="G19" i="2"/>
  <c r="G70" i="2"/>
  <c r="G10" i="2"/>
  <c r="G39" i="2"/>
  <c r="D38" i="2"/>
  <c r="D33" i="2" s="1"/>
  <c r="G43" i="2"/>
  <c r="D42" i="2"/>
  <c r="G79" i="2"/>
  <c r="G71" i="2"/>
  <c r="G35" i="2"/>
  <c r="G11" i="2"/>
  <c r="G78" i="2"/>
  <c r="F15" i="2"/>
  <c r="G110" i="5"/>
  <c r="H27" i="5"/>
  <c r="G57" i="5"/>
  <c r="G107" i="5"/>
  <c r="G254" i="5"/>
  <c r="G41" i="5"/>
  <c r="H42" i="5"/>
  <c r="G36" i="5"/>
  <c r="H37" i="5"/>
  <c r="G82" i="5"/>
  <c r="H82" i="5" s="1"/>
  <c r="H83" i="5"/>
  <c r="F143" i="5"/>
  <c r="H143" i="5" s="1"/>
  <c r="H144" i="5"/>
  <c r="G21" i="5"/>
  <c r="G46" i="5"/>
  <c r="H47" i="5"/>
  <c r="F111" i="5"/>
  <c r="H111" i="5" s="1"/>
  <c r="G154" i="5"/>
  <c r="H154" i="5" s="1"/>
  <c r="H155" i="5"/>
  <c r="F255" i="5"/>
  <c r="F254" i="5" s="1"/>
  <c r="F253" i="5" s="1"/>
  <c r="G88" i="5"/>
  <c r="G87" i="5" s="1"/>
  <c r="F98" i="5"/>
  <c r="F86" i="5" s="1"/>
  <c r="G13" i="5"/>
  <c r="B18" i="3"/>
  <c r="D18" i="3"/>
  <c r="D21" i="2"/>
  <c r="G21" i="2" s="1"/>
  <c r="D27" i="2"/>
  <c r="D26" i="2" s="1"/>
  <c r="G26" i="2" s="1"/>
  <c r="Q18" i="1"/>
  <c r="F61" i="5"/>
  <c r="F60" i="5" s="1"/>
  <c r="G99" i="5"/>
  <c r="G62" i="5"/>
  <c r="D6" i="3"/>
  <c r="F18" i="3"/>
  <c r="B6" i="3"/>
  <c r="D65" i="2"/>
  <c r="G65" i="2" s="1"/>
  <c r="B9" i="2"/>
  <c r="B8" i="2" s="1"/>
  <c r="B7" i="2" s="1"/>
  <c r="B33" i="2"/>
  <c r="B32" i="2" s="1"/>
  <c r="E9" i="2"/>
  <c r="E18" i="2"/>
  <c r="G18" i="2" s="1"/>
  <c r="D47" i="2"/>
  <c r="G47" i="2" s="1"/>
  <c r="F26" i="2"/>
  <c r="G42" i="2"/>
  <c r="F10" i="2"/>
  <c r="F21" i="2"/>
  <c r="D9" i="2"/>
  <c r="D77" i="2"/>
  <c r="G77" i="2" s="1"/>
  <c r="F27" i="2"/>
  <c r="F19" i="2"/>
  <c r="G38" i="2" l="1"/>
  <c r="G27" i="2"/>
  <c r="D8" i="2"/>
  <c r="D7" i="2" s="1"/>
  <c r="G9" i="2"/>
  <c r="E32" i="2"/>
  <c r="G20" i="5"/>
  <c r="G40" i="5"/>
  <c r="H41" i="5"/>
  <c r="H26" i="5"/>
  <c r="F110" i="5"/>
  <c r="F54" i="5" s="1"/>
  <c r="G61" i="5"/>
  <c r="H62" i="5"/>
  <c r="G45" i="5"/>
  <c r="H46" i="5"/>
  <c r="G35" i="5"/>
  <c r="H36" i="5"/>
  <c r="G253" i="5"/>
  <c r="H253" i="5" s="1"/>
  <c r="H254" i="5"/>
  <c r="G56" i="5"/>
  <c r="G106" i="5"/>
  <c r="H255" i="5"/>
  <c r="G12" i="5"/>
  <c r="H13" i="5"/>
  <c r="G98" i="5"/>
  <c r="H98" i="5" s="1"/>
  <c r="H99" i="5"/>
  <c r="H87" i="5"/>
  <c r="H88" i="5"/>
  <c r="E8" i="2"/>
  <c r="G33" i="2"/>
  <c r="D41" i="2"/>
  <c r="F9" i="2"/>
  <c r="F18" i="2"/>
  <c r="D76" i="2"/>
  <c r="G76" i="2" s="1"/>
  <c r="F9" i="5" l="1"/>
  <c r="F8" i="5" s="1"/>
  <c r="F7" i="5" s="1"/>
  <c r="F6" i="5" s="1"/>
  <c r="F5" i="5" s="1"/>
  <c r="G41" i="2"/>
  <c r="D32" i="2"/>
  <c r="D31" i="2" s="1"/>
  <c r="G8" i="2"/>
  <c r="E7" i="2"/>
  <c r="F8" i="2"/>
  <c r="E31" i="2"/>
  <c r="H110" i="5"/>
  <c r="G11" i="5"/>
  <c r="H12" i="5"/>
  <c r="G60" i="5"/>
  <c r="H60" i="5" s="1"/>
  <c r="H61" i="5"/>
  <c r="G86" i="5"/>
  <c r="H86" i="5" s="1"/>
  <c r="G34" i="5"/>
  <c r="H34" i="5" s="1"/>
  <c r="H35" i="5"/>
  <c r="G44" i="5"/>
  <c r="H44" i="5" s="1"/>
  <c r="H45" i="5"/>
  <c r="G39" i="5"/>
  <c r="H39" i="5" s="1"/>
  <c r="H40" i="5"/>
  <c r="G55" i="5"/>
  <c r="G105" i="5"/>
  <c r="H24" i="5"/>
  <c r="H25" i="5"/>
  <c r="G19" i="5"/>
  <c r="B31" i="2"/>
  <c r="F32" i="2"/>
  <c r="G32" i="2"/>
  <c r="F31" i="2" l="1"/>
  <c r="G7" i="2"/>
  <c r="F7" i="2"/>
  <c r="G18" i="5"/>
  <c r="H18" i="5" s="1"/>
  <c r="G54" i="5"/>
  <c r="H54" i="5" s="1"/>
  <c r="G10" i="5"/>
  <c r="H11" i="5"/>
  <c r="G31" i="2"/>
  <c r="G9" i="5" l="1"/>
  <c r="H10" i="5"/>
  <c r="H9" i="5" l="1"/>
  <c r="G8" i="5"/>
  <c r="G7" i="5" l="1"/>
  <c r="H8" i="5"/>
  <c r="G6" i="5" l="1"/>
  <c r="H7" i="5"/>
  <c r="G5" i="5" l="1"/>
  <c r="H5" i="5" s="1"/>
  <c r="H6" i="5"/>
</calcChain>
</file>

<file path=xl/sharedStrings.xml><?xml version="1.0" encoding="utf-8"?>
<sst xmlns="http://schemas.openxmlformats.org/spreadsheetml/2006/main" count="1152" uniqueCount="469">
  <si>
    <t xml:space="preserve"> </t>
  </si>
  <si>
    <t>Račun / opis</t>
  </si>
  <si>
    <t>3</t>
  </si>
  <si>
    <t>4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</si>
  <si>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</si>
  <si>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</si>
  <si>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</si>
  <si>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</si>
  <si>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</si>
  <si>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</si>
  <si>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</si>
  <si>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8 Primici od financijske imovine i zaduživanja</t>
  </si>
  <si>
    <t>5 Izdaci za financijsku imovinu i otplate zajmova</t>
  </si>
  <si>
    <t xml:space="preserve"> UKUPNI DONOS VIŠKA / MANJKA IZ PRETHODNE(IH) GODINA</t>
  </si>
  <si>
    <t xml:space="preserve"> VIŠAK / MANJAK IZ PRETHODNE(IH) GODINE KOJI ĆE SE POKRITI / RASPOREDITI</t>
  </si>
  <si>
    <t>63 Pomoći iz inozemstva i od subjekata unutar općeg proračuna</t>
  </si>
  <si>
    <t>636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</si>
  <si>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</si>
  <si>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</si>
  <si>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</si>
  <si>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</si>
  <si>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663 Donacije od pravnih i fizičkih osoba izvan općeg proračuna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</si>
  <si>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</si>
  <si>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</si>
  <si>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</si>
  <si>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</si>
  <si>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</si>
  <si>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</si>
  <si>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</si>
  <si>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</si>
  <si>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</si>
  <si>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</si>
  <si>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</si>
  <si>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</si>
  <si>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</si>
  <si>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</si>
  <si>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</si>
  <si>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</si>
  <si>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</si>
  <si>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</si>
  <si>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</si>
  <si>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</si>
  <si>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</si>
  <si>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</si>
  <si>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</si>
  <si>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</si>
  <si>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</si>
  <si>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</si>
  <si>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</si>
  <si>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</si>
  <si>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</si>
  <si>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</si>
  <si>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</si>
  <si>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</si>
  <si>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</si>
  <si>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</si>
  <si>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3295 Pristojbe i naknade</t>
  </si>
  <si>
    <t>3299 Ostali nespomenuti rashodi poslovanja</t>
  </si>
  <si>
    <t>34 Financijski rashodi</t>
  </si>
  <si>
    <t>343 Ostali financijski rashodi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</si>
  <si>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</si>
  <si>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</si>
  <si>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</si>
  <si>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</si>
  <si>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</si>
  <si>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 xml:space="preserve"> SVEUKUPNI PRIHODI</t>
  </si>
  <si>
    <t>Izvor 5. POMOĆI</t>
  </si>
  <si>
    <t xml:space="preserve"> SVEUKUPNI RASHODI</t>
  </si>
  <si>
    <t>311</t>
  </si>
  <si>
    <t>3111</t>
  </si>
  <si>
    <t>Plaće za redovan rad</t>
  </si>
  <si>
    <t>312</t>
  </si>
  <si>
    <t>Ostali rashodi za zaposlene</t>
  </si>
  <si>
    <t>3121</t>
  </si>
  <si>
    <t>313</t>
  </si>
  <si>
    <t>3132</t>
  </si>
  <si>
    <t>Doprinosi za obvezno zdravstveno osiguranje</t>
  </si>
  <si>
    <t>321</t>
  </si>
  <si>
    <t>3212</t>
  </si>
  <si>
    <t>Naknade za prijevoz, za rad na terenu i odvojeni život</t>
  </si>
  <si>
    <t>323</t>
  </si>
  <si>
    <t>3236</t>
  </si>
  <si>
    <t>343</t>
  </si>
  <si>
    <t>422</t>
  </si>
  <si>
    <t>4221</t>
  </si>
  <si>
    <t>Uredska oprema i namještaj</t>
  </si>
  <si>
    <t>3213</t>
  </si>
  <si>
    <t>Stručno usavršavanje zaposlenika</t>
  </si>
  <si>
    <t>322</t>
  </si>
  <si>
    <t>3221</t>
  </si>
  <si>
    <t>Uredski materijal i ostali materijalni rashodi</t>
  </si>
  <si>
    <t>3222</t>
  </si>
  <si>
    <t>Materijal i sirovine</t>
  </si>
  <si>
    <t>3223</t>
  </si>
  <si>
    <t>3224</t>
  </si>
  <si>
    <t>Materijal i dijelovi za tekuće i investicijsko održavanje</t>
  </si>
  <si>
    <t>3225</t>
  </si>
  <si>
    <t>Sitni inventar i auto gume</t>
  </si>
  <si>
    <t>3227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</si>
  <si>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</si>
  <si>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</si>
  <si>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</si>
  <si>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</si>
  <si>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</si>
  <si>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</si>
  <si>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3237</t>
  </si>
  <si>
    <t>3239</t>
  </si>
  <si>
    <t>Ostale usluge</t>
  </si>
  <si>
    <t>329</t>
  </si>
  <si>
    <t>Ostali nespomenuti rashodi poslovanja</t>
  </si>
  <si>
    <t>3295</t>
  </si>
  <si>
    <t>3299</t>
  </si>
  <si>
    <t>4227</t>
  </si>
  <si>
    <t xml:space="preserve">VIŠAK / MANJAK + NETO ZADUŽIVANJE / FINANCIRANJE </t>
  </si>
  <si>
    <t>UKUPNO PRIHODI</t>
  </si>
  <si>
    <t>UKUPNO RASHODI</t>
  </si>
  <si>
    <t>PO EKONOMSKOJ KLASIFIKACIJI</t>
  </si>
  <si>
    <t>PREGLED UKUPNIH PRIHODA I RASHODA PO IZVORIMA FINANCIRANJA</t>
  </si>
  <si>
    <t>Izvor 5.2. PRIHODI OD TEKUĆIH POMOĆI IZ DRŽAVNOG PRORAČUNA</t>
  </si>
  <si>
    <t>Izvor 6.1.  DONACIJE</t>
  </si>
  <si>
    <t>6361Tekuće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</si>
  <si>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</si>
  <si>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</si>
  <si>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</si>
  <si>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641 Prihodi od financijske imovine</t>
  </si>
  <si>
    <t>64 Prihodi od imovine</t>
  </si>
  <si>
    <t>661 Prihodi od prodaje proizvoda i robe te pruženih usluga</t>
  </si>
  <si>
    <t>3293 Reprezentacija</t>
  </si>
  <si>
    <t>3296 Sudski postupak</t>
  </si>
  <si>
    <t>3431 Bankarske usluge i platni promet</t>
  </si>
  <si>
    <t>3433 Zatezne kamate</t>
  </si>
  <si>
    <t>37 Naknade građanima iz proračuna u naravi</t>
  </si>
  <si>
    <t>4241 Knjige</t>
  </si>
  <si>
    <t>3238 Računalne usluge</t>
  </si>
  <si>
    <t>3237 Intelektualne usluge</t>
  </si>
  <si>
    <t>Izvor 1.1 OPĆI PRIHODI I PRIMICI</t>
  </si>
  <si>
    <t>Izvor 1.2  OPĆI PRIHODI Osnovne škole</t>
  </si>
  <si>
    <t>Izvor 4.3.1. PRIHODI ZA POSEBNE NAMJENE</t>
  </si>
  <si>
    <t>Izvor 5.7. 1 POMOĆI IZ GRADSKIH I OPĆINSKIH PRORAČUNA</t>
  </si>
  <si>
    <t>Izvor 3.1.1 Vlastiti prihodi - pk</t>
  </si>
  <si>
    <t>OŠ SUNJA</t>
  </si>
  <si>
    <t>OIB: 02388957325</t>
  </si>
  <si>
    <t>REALIZACIJA PRORAČUNA</t>
  </si>
  <si>
    <t>KONTO</t>
  </si>
  <si>
    <t>POZICIJA</t>
  </si>
  <si>
    <t>VRSTA RASHODA / IZDATAKA</t>
  </si>
  <si>
    <t>PLANIRANO (1)</t>
  </si>
  <si>
    <t>OSTVARENO(2)</t>
  </si>
  <si>
    <t>RAZLIKA (1-2)</t>
  </si>
  <si>
    <t>PLAĆENO (3)</t>
  </si>
  <si>
    <t>SALDO (2-3)</t>
  </si>
  <si>
    <t>REZERVIRANO(4)</t>
  </si>
  <si>
    <t>RASPOLOŽIVO (1-2-4)</t>
  </si>
  <si>
    <t>INDEKS</t>
  </si>
  <si>
    <t>Razdjel 002 UPRAVNI ODJEL ZA PROSVJETU,KULTURU I ŠPORT</t>
  </si>
  <si>
    <t>Glava 00202 ŠKOLSTVO</t>
  </si>
  <si>
    <t>Podglava 11687 OSNOVNA ŠKOLA SUNJA</t>
  </si>
  <si>
    <t>Glavni program A02 DJELATNOST UPRAVNOG ODJELA ZA PROSVJETU,KULTURU I ŠPORT</t>
  </si>
  <si>
    <t>Program 1001 Program javnih potreba u školstvu</t>
  </si>
  <si>
    <t>Aktivnost A100007 Školska natjecanja i smotre</t>
  </si>
  <si>
    <t>Izvor  1.1. OPĆI PRIHODI I PRIMICI</t>
  </si>
  <si>
    <t>Rashodi poslovanja Rashodi poslovanja</t>
  </si>
  <si>
    <t>32</t>
  </si>
  <si>
    <t>Materijalni rashodi Materijalni rashodi</t>
  </si>
  <si>
    <t>Naknade troškova zaposlenima Naknade troškova zaposlenima</t>
  </si>
  <si>
    <t>3211</t>
  </si>
  <si>
    <t>R0719</t>
  </si>
  <si>
    <t>Službena putovanja</t>
  </si>
  <si>
    <t>Ostali nespomenuti rashodi poslovanja Ostali nespomenuti rashodi poslovanja</t>
  </si>
  <si>
    <t>R2860</t>
  </si>
  <si>
    <t>Aktivnost A100010 Školska kuhinja</t>
  </si>
  <si>
    <t>Rashodi za materijal i energiju Rashodi za materijal i energiju</t>
  </si>
  <si>
    <t>R0720</t>
  </si>
  <si>
    <t>Izvor  4.3.1 PRIHODI ZA POSEBNE NAMJENE- PK</t>
  </si>
  <si>
    <t>R0721</t>
  </si>
  <si>
    <t>Izvor  5.2.14 POMOĆI-AGENCIJA ZA PLAĆANJA U POLJOPRIVREDI,RAZMINIRANJE</t>
  </si>
  <si>
    <t>R0722</t>
  </si>
  <si>
    <t>Izvor  5.2.9 POMOĆI-MINISTARSTVO ZA DEMOGRAFIJU,OBITELJ,MLADE I SOCIJALNU</t>
  </si>
  <si>
    <t>R0723</t>
  </si>
  <si>
    <t>Izvor  5.7.1 POMOĆI IZ GRADSKIH I OPĆINSKIH PRORAČUNA-PK</t>
  </si>
  <si>
    <t>R0724</t>
  </si>
  <si>
    <t>Aktivnost A100014 Redovni program OŠ</t>
  </si>
  <si>
    <t>R0726-1</t>
  </si>
  <si>
    <t>Izvor  1.2. OPĆI PRIHODI OSNOVNE ŠKOLE</t>
  </si>
  <si>
    <t>R0726</t>
  </si>
  <si>
    <t>R3791</t>
  </si>
  <si>
    <t>R0727</t>
  </si>
  <si>
    <t>R0728</t>
  </si>
  <si>
    <t>R0729</t>
  </si>
  <si>
    <t>R0730</t>
  </si>
  <si>
    <t>R0731</t>
  </si>
  <si>
    <t>Rashodi za usluge Rashodi za usluge</t>
  </si>
  <si>
    <t>R0732</t>
  </si>
  <si>
    <t>R0733</t>
  </si>
  <si>
    <t>R0734</t>
  </si>
  <si>
    <t>R0735</t>
  </si>
  <si>
    <t>3238</t>
  </si>
  <si>
    <t>R0736</t>
  </si>
  <si>
    <t>Računalne usluge</t>
  </si>
  <si>
    <t>R0737</t>
  </si>
  <si>
    <t>3293</t>
  </si>
  <si>
    <t>R0738</t>
  </si>
  <si>
    <t>Reprezentacija</t>
  </si>
  <si>
    <t>R0739</t>
  </si>
  <si>
    <t>34</t>
  </si>
  <si>
    <t>Financijski rashodi Financijski rashodi</t>
  </si>
  <si>
    <t>Ostali financijski rashodi Ostali financijski rashodi</t>
  </si>
  <si>
    <t>3431</t>
  </si>
  <si>
    <t>R0740</t>
  </si>
  <si>
    <t>Bankarske usluge i usluge platnog prometa</t>
  </si>
  <si>
    <t>3433</t>
  </si>
  <si>
    <t>R3792</t>
  </si>
  <si>
    <t>Zatezne kamate</t>
  </si>
  <si>
    <t>Izvor  3.1.1 VLASTITI PRIHODI-PK</t>
  </si>
  <si>
    <t>R0741</t>
  </si>
  <si>
    <t>R0742</t>
  </si>
  <si>
    <t>R0743</t>
  </si>
  <si>
    <t>R0725-1</t>
  </si>
  <si>
    <t>R0744</t>
  </si>
  <si>
    <t>R0745</t>
  </si>
  <si>
    <t>Rashodi za nabavu nefinancijske imovine Rashodi za nabavu nefinancijske imovine</t>
  </si>
  <si>
    <t>42</t>
  </si>
  <si>
    <t>Rashodi za nabavu proizvedene dugotrajne imovine Rashodi za nabavu proizvedene dugotrajne imovine</t>
  </si>
  <si>
    <t>Postrojenja i oprema Postrojenja i oprema</t>
  </si>
  <si>
    <t>R3079</t>
  </si>
  <si>
    <t>R3079-1</t>
  </si>
  <si>
    <t>424</t>
  </si>
  <si>
    <t xml:space="preserve">Knjige, umjetnička djela i ostale izložbene vrijednosti Knjige, umjetnička djela i ostale izložbene </t>
  </si>
  <si>
    <t>4241</t>
  </si>
  <si>
    <t>Knjige</t>
  </si>
  <si>
    <t>R0746</t>
  </si>
  <si>
    <t>Izvor  5.2.1 POMOĆI-HZZ-PK</t>
  </si>
  <si>
    <t>324</t>
  </si>
  <si>
    <t>Naknade troškova osobama izvan radnog odnosa Naknade troškova osobama izvan radnog odnosa</t>
  </si>
  <si>
    <t>3241</t>
  </si>
  <si>
    <t>R2854-4</t>
  </si>
  <si>
    <t>Izvor  5.2.2 POMOĆI-PK</t>
  </si>
  <si>
    <t>31</t>
  </si>
  <si>
    <t>Rashodi za zaposlene Rashodi za zaposlene</t>
  </si>
  <si>
    <t>Plaće (Bruto) Plaće (Bruto)</t>
  </si>
  <si>
    <t>R3298</t>
  </si>
  <si>
    <t>Ostali rashodi za zaposlene Ostali rashodi za zaposlene</t>
  </si>
  <si>
    <t>R3299</t>
  </si>
  <si>
    <t>Doprinosi na plaće Doprinosi na plaće</t>
  </si>
  <si>
    <t>R3302</t>
  </si>
  <si>
    <t>R2852</t>
  </si>
  <si>
    <t>R3303</t>
  </si>
  <si>
    <t>R2853</t>
  </si>
  <si>
    <t>R2854</t>
  </si>
  <si>
    <t>R3304</t>
  </si>
  <si>
    <t>37</t>
  </si>
  <si>
    <t>Naknade građanima i kućanstvima na temelju osiguranja i druge naknade Naknade građanima i kućanstvim</t>
  </si>
  <si>
    <t>372</t>
  </si>
  <si>
    <t>Ostale naknade građanima i kućanstvima iz proračuna Ostale naknade građanima i kućanstvima iz prorač</t>
  </si>
  <si>
    <t>3722</t>
  </si>
  <si>
    <t>R0751-1</t>
  </si>
  <si>
    <t>Izvor  5.2.3 POMOĆI EU-PK</t>
  </si>
  <si>
    <t>R0747</t>
  </si>
  <si>
    <t>R0748</t>
  </si>
  <si>
    <t>R0749</t>
  </si>
  <si>
    <t>R0750</t>
  </si>
  <si>
    <t>R0751</t>
  </si>
  <si>
    <t>R0751-2</t>
  </si>
  <si>
    <t>R0752</t>
  </si>
  <si>
    <t>R0752-1</t>
  </si>
  <si>
    <t>Izvor  6.1.1 TEKUĆE DONACIJE-PK</t>
  </si>
  <si>
    <t>R0753</t>
  </si>
  <si>
    <t>Aktivnost A100022 Projekti i međunarodna suradnja</t>
  </si>
  <si>
    <t>R2851</t>
  </si>
  <si>
    <t>Kapitalni projekt K100002 Ulaganja u objekte školstva</t>
  </si>
  <si>
    <t>R0755</t>
  </si>
  <si>
    <t>R0756</t>
  </si>
  <si>
    <t>R0757</t>
  </si>
  <si>
    <t>Izvor  5.2.5 POMOĆI-MINISTARSTVO ZNANOSTI I OBRAZOVANJA</t>
  </si>
  <si>
    <t>Tekući projekt T100004 Osiguravanje pomoćnika u nastavi učenicima s teškoćama</t>
  </si>
  <si>
    <t>R3582</t>
  </si>
  <si>
    <t>R3583</t>
  </si>
  <si>
    <t>R3584</t>
  </si>
  <si>
    <t>R3585</t>
  </si>
  <si>
    <t>Izvor 5.2.3. Pomoći EU- pk</t>
  </si>
  <si>
    <t>Izvor 5.2.5. MZO pomoći - pk PUN</t>
  </si>
  <si>
    <t>9222 VIŠAK iz prethodnih godina</t>
  </si>
  <si>
    <t>Od 01.01.2020 do 31.12.2020</t>
  </si>
  <si>
    <t>Troškovi i naknade mentorima</t>
  </si>
  <si>
    <t>Namirnice za školsku kuhinju kroz  pronatalitetnu politika</t>
  </si>
  <si>
    <t>Namirnice za školsku kuhinju-roditelji</t>
  </si>
  <si>
    <t>Namirnice za školsku kuhinju kroz školsku shemu</t>
  </si>
  <si>
    <t>Namirnice za školsku kuhinju kroz  EU projekt</t>
  </si>
  <si>
    <t>Namirnice za školsku kuhinju - Općina Sunja</t>
  </si>
  <si>
    <t>Materijal za higijenske potrebe i njegu - maske</t>
  </si>
  <si>
    <t>R3790</t>
  </si>
  <si>
    <t>Energija-el.energija</t>
  </si>
  <si>
    <t>Službena,radna i zaštitna odjeće i obuća</t>
  </si>
  <si>
    <t>Zdravstvene  usluge-redovni zdr.pr.</t>
  </si>
  <si>
    <t>R0725</t>
  </si>
  <si>
    <t>Sitan inventar</t>
  </si>
  <si>
    <t>Ostali rashodi</t>
  </si>
  <si>
    <t>Rashod za troškove učeničke zadruge</t>
  </si>
  <si>
    <t>R0742-1</t>
  </si>
  <si>
    <t>Ostale naknade iz proračuna u naravi</t>
  </si>
  <si>
    <t>Oprema za ostale namjene</t>
  </si>
  <si>
    <t>R3079-2</t>
  </si>
  <si>
    <t>Knjige u knjižnici</t>
  </si>
  <si>
    <t>Rashod za troškove izleta i ulaznica za bazen</t>
  </si>
  <si>
    <t>Naknada ostalih troškova - novaci</t>
  </si>
  <si>
    <t>Službena putovanja - ŽSV</t>
  </si>
  <si>
    <t>Uredski materijal i ostali materijalni rashodi - ŽSV</t>
  </si>
  <si>
    <t>R2853-1</t>
  </si>
  <si>
    <t>Uredski materijal -NSO</t>
  </si>
  <si>
    <t>Intelektualne i osobne usluge -ŽSV</t>
  </si>
  <si>
    <t>Pristojbe i naknade - invalidi</t>
  </si>
  <si>
    <t>R3304-1</t>
  </si>
  <si>
    <t>4226</t>
  </si>
  <si>
    <t>Sportska oprema - NSO</t>
  </si>
  <si>
    <t>R0751-3</t>
  </si>
  <si>
    <t>Oprema - NSO</t>
  </si>
  <si>
    <t>Knjige za školsku knjižnicu</t>
  </si>
  <si>
    <t>Dnevnice učitelju TZK za natjecanja</t>
  </si>
  <si>
    <t>R0747-1</t>
  </si>
  <si>
    <t>Dnevnice za služ.putovanja</t>
  </si>
  <si>
    <t>Ostali nespomenuti rashodi poslovanja za učeničku zadrugu</t>
  </si>
  <si>
    <t>425</t>
  </si>
  <si>
    <t>Višegodišnji nasadi i osnovno stado Višegodišnji nasadi i osnovno stado</t>
  </si>
  <si>
    <t>4251</t>
  </si>
  <si>
    <t>Ostali višegodišnji nasadi</t>
  </si>
  <si>
    <t>Dnevnice učiteljima za školske izleta</t>
  </si>
  <si>
    <t>Oprema i namještaj</t>
  </si>
  <si>
    <t>Usluge tekućeg i investicijskog održavanja u OŠ</t>
  </si>
  <si>
    <t>2020.</t>
  </si>
  <si>
    <t>4251 Nasadi</t>
  </si>
  <si>
    <t>Energija</t>
  </si>
  <si>
    <t>Službena, radna i zaštitna odjeća i obuća</t>
  </si>
  <si>
    <t>Zdravstvene i veterinarske usluge</t>
  </si>
  <si>
    <t>Uređaji, strojevi i oprema za ostale namjene</t>
  </si>
  <si>
    <t>R4131</t>
  </si>
  <si>
    <t>R3299-1</t>
  </si>
  <si>
    <t>R4129</t>
  </si>
  <si>
    <t>Intelektualne i osobne usluge</t>
  </si>
  <si>
    <t>R4130</t>
  </si>
  <si>
    <t>Pristojbe i naknade</t>
  </si>
  <si>
    <t>R4312</t>
  </si>
  <si>
    <t>Naknade građanima i kućanstvima u naravi</t>
  </si>
  <si>
    <t>R4069</t>
  </si>
  <si>
    <t>R4070</t>
  </si>
  <si>
    <t>R0747-01</t>
  </si>
  <si>
    <t>R0753-01</t>
  </si>
  <si>
    <t>R4134</t>
  </si>
  <si>
    <t>R0755-1</t>
  </si>
  <si>
    <t>POLUGODIŠNJI IZVJEŠTAJ O IZVRŠENJU FINANCIJSKOG PLANA</t>
  </si>
  <si>
    <t>Brojčana oznaka i naziv računa</t>
  </si>
  <si>
    <t>Tekući plan 2022.</t>
  </si>
  <si>
    <t>Indeks  5/2</t>
  </si>
  <si>
    <t>Indeks  5/4</t>
  </si>
  <si>
    <t>Brojčana oznaka - Naziv programa, aktivnosti, projekta, računa ekonomske klasifikacije i izvora financiranja</t>
  </si>
  <si>
    <t xml:space="preserve">Rashodi poslovanja </t>
  </si>
  <si>
    <t xml:space="preserve">Materijalni rashodi </t>
  </si>
  <si>
    <t xml:space="preserve">Rashodi za materijal i energiju </t>
  </si>
  <si>
    <t>Rashodi poslovanjaa</t>
  </si>
  <si>
    <t>Naknade troškova zaposlenima</t>
  </si>
  <si>
    <t xml:space="preserve">Rashodi za usluge </t>
  </si>
  <si>
    <t>3133 Doprini za nezaposlenost</t>
  </si>
  <si>
    <t>6425 Prihod od pordaje kratkotrajne imovine</t>
  </si>
  <si>
    <t>3214 Ostale naknade troškova zaposlenih</t>
  </si>
  <si>
    <t>38 Ostali rashodi - tekuće donaci u naravi - učenicima</t>
  </si>
  <si>
    <t>Nematerijalna imovina. Postrojenja i oprema</t>
  </si>
  <si>
    <t>R4306</t>
  </si>
  <si>
    <t>Materijalni rashodi</t>
  </si>
  <si>
    <t xml:space="preserve">Rashodi za nabavu nefinancijske imovine </t>
  </si>
  <si>
    <t xml:space="preserve">Rashodi za nabavu proizvedene dugotrajne imovine </t>
  </si>
  <si>
    <t xml:space="preserve">Postrojenja i oprema </t>
  </si>
  <si>
    <t xml:space="preserve">Knjige, umjetnička djela i ostale izložbene vrijednosti </t>
  </si>
  <si>
    <t>Financijski rashodi</t>
  </si>
  <si>
    <t>R4310</t>
  </si>
  <si>
    <t>R4308</t>
  </si>
  <si>
    <t>Doprinosi za obvezno osiguranje u slučaju nezaposlenosti</t>
  </si>
  <si>
    <t>R4309</t>
  </si>
  <si>
    <t>Troškovi sudskih pristojbi</t>
  </si>
  <si>
    <t>Prijevoz</t>
  </si>
  <si>
    <t>Ostali nespomenuti rashodi poslovanja - zadruga</t>
  </si>
  <si>
    <t>Rashodi poslovanja</t>
  </si>
  <si>
    <t xml:space="preserve">Ostali nespomenuti rashodi poslovanja </t>
  </si>
  <si>
    <t>Rashodi za materijal i energiju</t>
  </si>
  <si>
    <t xml:space="preserve">Financijski rashodi </t>
  </si>
  <si>
    <t>Ostali financijski rashodi</t>
  </si>
  <si>
    <t xml:space="preserve">Rashodi za zaposlene </t>
  </si>
  <si>
    <t xml:space="preserve">Plaće (Bruto) </t>
  </si>
  <si>
    <t xml:space="preserve">Ostali rashodi za zaposlene </t>
  </si>
  <si>
    <t xml:space="preserve">Doprinosi na plaće </t>
  </si>
  <si>
    <t xml:space="preserve">Naknade troškova zaposlenima </t>
  </si>
  <si>
    <t>Rashodi za usluge</t>
  </si>
  <si>
    <t>Naknade građanima i kućanstvima na temelju osiguranja i druge naknade</t>
  </si>
  <si>
    <t xml:space="preserve">Ostale naknade građanima i kućanstvima iz proračuna </t>
  </si>
  <si>
    <t>Rashodi za nabavu proizvedene dugotrajne imovine</t>
  </si>
  <si>
    <t>Rashodi za nabavu nefinancijske imovine</t>
  </si>
  <si>
    <t>Knjige, umjetnička djela i ostale izložbene vrijednosti</t>
  </si>
  <si>
    <t>Naknade troškova zaposlenimaenima</t>
  </si>
  <si>
    <t>Plaće (Bruto)</t>
  </si>
  <si>
    <t>Doprinosi na plaće</t>
  </si>
  <si>
    <t>Indeks 4/2</t>
  </si>
  <si>
    <t xml:space="preserve">Na temelju članka 58. Statuta Osnovne škole Sunja, školski odbor na   ____. sjednici održanoj dana _________.2023. godine usvojilo je </t>
  </si>
  <si>
    <t>OSNOVNE ŠKOLE SUNJA ZA 1.-6.2023. GODINE</t>
  </si>
  <si>
    <t>Financijski plan 2023.</t>
  </si>
  <si>
    <t>Izvršenje za 1.-6.2023.</t>
  </si>
  <si>
    <t>Izvorni plan 2023.</t>
  </si>
  <si>
    <t>Izvršenje             1.-6.2023.</t>
  </si>
  <si>
    <t>IZVJEŠTAJ O IZVRŠENJU FINANCIJSKOG PLANA ZA 2023. GODINU</t>
  </si>
  <si>
    <t>Izvršenje      1.-6.2023.</t>
  </si>
  <si>
    <t>Izvršenje za 1.-6.2022.KN</t>
  </si>
  <si>
    <t>Izvršenje za 1.-6.2022. EUR</t>
  </si>
  <si>
    <t xml:space="preserve">Izvršenje           1.-6.2022 -KN </t>
  </si>
  <si>
    <t xml:space="preserve">Izvršenje           1.-6.2022. EUR </t>
  </si>
  <si>
    <t>Izvršenje financijskog plana prema programskoj i ekonomskoj klasifikaciji te izvorima financiranja - 01.-6.2023. EURI</t>
  </si>
  <si>
    <t>Izvorni plan 2023.- EUR</t>
  </si>
  <si>
    <t>Izvršenje 1.-6.2023. - EUR</t>
  </si>
  <si>
    <t>R4303</t>
  </si>
  <si>
    <t>R4305</t>
  </si>
  <si>
    <t>R4307</t>
  </si>
  <si>
    <t>Sitan inventar i auto gume</t>
  </si>
  <si>
    <t>Izvor  5.2.2. Pomoći - PK (MZO Kuhinj)</t>
  </si>
  <si>
    <t>R0724-2</t>
  </si>
  <si>
    <t>Izvor  5.2.7. POMOĆI IZ GRADSKIH I OPĆINSKIH PRORAČUNA-PK</t>
  </si>
  <si>
    <t>Aktivnost A100015 Produženi boravak</t>
  </si>
  <si>
    <t>Izvor 1.1. Opći prihodi i primitci</t>
  </si>
  <si>
    <t>Plaće</t>
  </si>
  <si>
    <t>R4472</t>
  </si>
  <si>
    <t>R4473</t>
  </si>
  <si>
    <t>R4474</t>
  </si>
  <si>
    <t>R4475</t>
  </si>
  <si>
    <t>Dprinosi za obvezno ZO</t>
  </si>
  <si>
    <t>Naknada za prijevoz</t>
  </si>
  <si>
    <t>Izvor 4.3.1. Prihodi za posebne namjene - PK</t>
  </si>
  <si>
    <t>R4480</t>
  </si>
  <si>
    <t>R4483</t>
  </si>
  <si>
    <t>R4481</t>
  </si>
  <si>
    <t>R4482</t>
  </si>
  <si>
    <t>R4484</t>
  </si>
  <si>
    <t>R4485</t>
  </si>
  <si>
    <t>Izvor 5.7.1. Pomoći iz gradskih i općinskih proračuna - PK</t>
  </si>
  <si>
    <t>Izvršenje        1.-6.2022 KN</t>
  </si>
  <si>
    <t>Izvršenje        1.-6.2022 EUR</t>
  </si>
  <si>
    <t>A) SAŽETAK RAČUNA PRIHODA I RASHODA</t>
  </si>
  <si>
    <t>B) SAŽETAK RAČUNA FINANCIRANJA</t>
  </si>
  <si>
    <t>Račun financiranja</t>
  </si>
  <si>
    <t xml:space="preserve"> NETO FINANCIRANJE</t>
  </si>
  <si>
    <t xml:space="preserve">C) PRENESENI VIŠAK ILI MANJAK </t>
  </si>
  <si>
    <t>Viškovi/ manjkovi</t>
  </si>
  <si>
    <t>POLUGODIŠNJI IZVJEŠTAJ O IZVRŠENJU FINANCIJSKOG PLANA ZA 2023.g.</t>
  </si>
  <si>
    <t>I. OPĆI DIO</t>
  </si>
  <si>
    <t xml:space="preserve">A. RAČUN PRIHODA I RASHODA </t>
  </si>
  <si>
    <t>RASHODI PREMA FUNKCIJSKOJ KLASIFIKACIJI</t>
  </si>
  <si>
    <t>BROJČANA OZNAKA I NAZIV</t>
  </si>
  <si>
    <t>Indeks</t>
  </si>
  <si>
    <t xml:space="preserve">UKUPNO RASHODI </t>
  </si>
  <si>
    <t>09 Obrazovanje</t>
  </si>
  <si>
    <t xml:space="preserve">091 Predškolsko i osnovno obrazovanje </t>
  </si>
  <si>
    <t>096 Dodatne usluge u obrazovanju</t>
  </si>
  <si>
    <t>5=5/3*100</t>
  </si>
  <si>
    <t>6=5/4*100</t>
  </si>
  <si>
    <t>3235 Zakupnine i najamnine - licence</t>
  </si>
  <si>
    <t>Plaće za redovan rad-sudska presuda</t>
  </si>
  <si>
    <t>Tekuće donacije u naravi</t>
  </si>
  <si>
    <t>R4312-01</t>
  </si>
  <si>
    <t>R4488</t>
  </si>
  <si>
    <t>Ostali nespomenuti rashodi poslovanja-zadruga</t>
  </si>
  <si>
    <t>Ostali nespomenuti rashodi poslovanja-izlet</t>
  </si>
  <si>
    <t>Izvor 5.2.5. MZO - pomoći pk - PUN</t>
  </si>
  <si>
    <t>Izvor 5.2.2 Pomoći  - PK MZO</t>
  </si>
  <si>
    <t>Izvor 5.2.14.Pomoći agencija za plaćanje u poloprivredi -  ŠS</t>
  </si>
  <si>
    <t>Izvor 5.2.9.Min. Za demografiju, mlade i socijalnu- pomoći - kuhinja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</si>
</sst>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6" formatCode="d\.m\.yyyy"/>
    <numFmt numFmtId="167" formatCode="[$-1041A]d\.m\.yyyy\."/>
    <numFmt numFmtId="168" formatCode="[$-1041A]h:mm"/>
    <numFmt numFmtId="169" formatCode="[$-1041A]#,##0.00;\-\ #,##0.00"/>
    <numFmt numFmtId="170" formatCode="[$-1041A]#,##0.00%"/>
    <numFmt numFmtId="171" formatCode="0.00\%"/>
  </numFmts>
  <fonts count="4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00000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b/>
      <i/>
      <sz val="8"/>
      <color rgb="FF002060"/>
      <name val="Calibri"/>
      <family val="2"/>
      <scheme val="minor"/>
    </font>
    <font>
      <i/>
      <sz val="8"/>
      <color rgb="FF000000"/>
      <name val="Calibri"/>
      <family val="2"/>
    </font>
    <font>
      <b/>
      <i/>
      <sz val="11"/>
      <color rgb="FF002060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8"/>
      <color theme="1"/>
      <name val="Arial"/>
      <family val="2"/>
      <charset val="238"/>
    </font>
    <font>
      <sz val="14"/>
      <color rgb="FF00206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164" fontId="2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0" fillId="0" borderId="0" xfId="0" applyFont="1" applyBorder="1" applyAlignment="1" applyProtection="1">
      <alignment horizontal="right"/>
    </xf>
    <xf numFmtId="166" fontId="0" fillId="0" borderId="0" xfId="0" applyNumberFormat="1" applyFont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 applyProtection="1"/>
    <xf numFmtId="0" fontId="0" fillId="0" borderId="0" xfId="0" applyFont="1" applyBorder="1" applyAlignment="1" applyProtection="1"/>
    <xf numFmtId="0" fontId="13" fillId="0" borderId="0" xfId="0" applyFont="1" applyAlignment="1" applyProtection="1">
      <alignment horizontal="right" vertical="top" wrapText="1" readingOrder="1"/>
      <protection locked="0"/>
    </xf>
    <xf numFmtId="0" fontId="16" fillId="0" borderId="1" xfId="0" applyFont="1" applyBorder="1" applyAlignment="1" applyProtection="1">
      <alignment vertical="top" wrapText="1" readingOrder="1"/>
      <protection locked="0"/>
    </xf>
    <xf numFmtId="0" fontId="16" fillId="0" borderId="1" xfId="0" applyFont="1" applyBorder="1" applyAlignment="1" applyProtection="1">
      <alignment horizontal="right" vertical="top" wrapText="1" readingOrder="1"/>
      <protection locked="0"/>
    </xf>
    <xf numFmtId="169" fontId="17" fillId="2" borderId="0" xfId="0" applyNumberFormat="1" applyFont="1" applyFill="1" applyAlignment="1" applyProtection="1">
      <alignment vertical="top" wrapText="1" readingOrder="1"/>
      <protection locked="0"/>
    </xf>
    <xf numFmtId="169" fontId="17" fillId="3" borderId="0" xfId="0" applyNumberFormat="1" applyFont="1" applyFill="1" applyAlignment="1" applyProtection="1">
      <alignment vertical="top" wrapText="1" readingOrder="1"/>
      <protection locked="0"/>
    </xf>
    <xf numFmtId="169" fontId="17" fillId="4" borderId="0" xfId="0" applyNumberFormat="1" applyFont="1" applyFill="1" applyAlignment="1" applyProtection="1">
      <alignment vertical="top" wrapText="1" readingOrder="1"/>
      <protection locked="0"/>
    </xf>
    <xf numFmtId="169" fontId="17" fillId="5" borderId="0" xfId="0" applyNumberFormat="1" applyFont="1" applyFill="1" applyAlignment="1" applyProtection="1">
      <alignment vertical="top" wrapText="1" readingOrder="1"/>
      <protection locked="0"/>
    </xf>
    <xf numFmtId="169" fontId="17" fillId="6" borderId="0" xfId="0" applyNumberFormat="1" applyFont="1" applyFill="1" applyAlignment="1" applyProtection="1">
      <alignment vertical="top" wrapText="1" readingOrder="1"/>
      <protection locked="0"/>
    </xf>
    <xf numFmtId="169" fontId="18" fillId="7" borderId="0" xfId="0" applyNumberFormat="1" applyFont="1" applyFill="1" applyAlignment="1" applyProtection="1">
      <alignment vertical="top" wrapText="1" readingOrder="1"/>
      <protection locked="0"/>
    </xf>
    <xf numFmtId="0" fontId="18" fillId="0" borderId="0" xfId="0" applyFont="1" applyAlignment="1" applyProtection="1">
      <alignment vertical="top" wrapText="1" readingOrder="1"/>
      <protection locked="0"/>
    </xf>
    <xf numFmtId="169" fontId="18" fillId="0" borderId="0" xfId="0" applyNumberFormat="1" applyFont="1" applyAlignment="1" applyProtection="1">
      <alignment vertical="top" wrapText="1" readingOrder="1"/>
      <protection locked="0"/>
    </xf>
    <xf numFmtId="0" fontId="19" fillId="0" borderId="0" xfId="0" applyFont="1" applyAlignment="1" applyProtection="1">
      <alignment vertical="top" wrapText="1" readingOrder="1"/>
      <protection locked="0"/>
    </xf>
    <xf numFmtId="169" fontId="19" fillId="0" borderId="0" xfId="0" applyNumberFormat="1" applyFont="1" applyAlignment="1" applyProtection="1">
      <alignment vertical="top" wrapText="1" readingOrder="1"/>
      <protection locked="0"/>
    </xf>
    <xf numFmtId="4" fontId="7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0" fillId="0" borderId="0" xfId="0"/>
    <xf numFmtId="0" fontId="0" fillId="0" borderId="0" xfId="0" applyBorder="1"/>
    <xf numFmtId="4" fontId="7" fillId="8" borderId="0" xfId="0" applyNumberFormat="1" applyFont="1" applyFill="1"/>
    <xf numFmtId="4" fontId="7" fillId="8" borderId="0" xfId="0" applyNumberFormat="1" applyFont="1" applyFill="1" applyAlignment="1">
      <alignment horizontal="right"/>
    </xf>
    <xf numFmtId="4" fontId="9" fillId="8" borderId="0" xfId="0" applyNumberFormat="1" applyFont="1" applyFill="1" applyBorder="1" applyAlignment="1" applyProtection="1"/>
    <xf numFmtId="4" fontId="9" fillId="8" borderId="0" xfId="0" applyNumberFormat="1" applyFont="1" applyFill="1"/>
    <xf numFmtId="4" fontId="21" fillId="0" borderId="0" xfId="0" applyNumberFormat="1" applyFont="1" applyAlignment="1"/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Fill="1" applyBorder="1" applyAlignment="1" applyProtection="1">
      <alignment wrapText="1"/>
    </xf>
    <xf numFmtId="164" fontId="9" fillId="0" borderId="0" xfId="3" applyFont="1" applyAlignment="1">
      <alignment wrapText="1"/>
    </xf>
    <xf numFmtId="4" fontId="7" fillId="0" borderId="0" xfId="0" applyNumberFormat="1" applyFont="1" applyFill="1" applyBorder="1" applyAlignment="1" applyProtection="1">
      <alignment wrapText="1"/>
    </xf>
    <xf numFmtId="0" fontId="9" fillId="0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left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 applyProtection="1">
      <alignment wrapText="1"/>
    </xf>
    <xf numFmtId="4" fontId="23" fillId="10" borderId="0" xfId="0" applyNumberFormat="1" applyFont="1" applyFill="1" applyBorder="1" applyAlignment="1" applyProtection="1">
      <alignment horizontal="right" wrapText="1"/>
    </xf>
    <xf numFmtId="171" fontId="23" fillId="10" borderId="0" xfId="0" applyNumberFormat="1" applyFont="1" applyFill="1" applyBorder="1" applyAlignment="1" applyProtection="1">
      <alignment wrapText="1"/>
    </xf>
    <xf numFmtId="0" fontId="26" fillId="0" borderId="0" xfId="0" applyFont="1"/>
    <xf numFmtId="0" fontId="25" fillId="12" borderId="0" xfId="1" applyFont="1" applyFill="1" applyAlignment="1">
      <alignment horizontal="center" vertical="center" wrapText="1"/>
    </xf>
    <xf numFmtId="0" fontId="27" fillId="12" borderId="0" xfId="1" applyFont="1" applyFill="1" applyAlignment="1">
      <alignment vertical="center" wrapText="1"/>
    </xf>
    <xf numFmtId="0" fontId="28" fillId="12" borderId="12" xfId="1" applyFont="1" applyFill="1" applyBorder="1" applyAlignment="1">
      <alignment horizontal="center" vertical="center" wrapText="1"/>
    </xf>
    <xf numFmtId="3" fontId="29" fillId="9" borderId="12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12" borderId="12" xfId="1" applyFont="1" applyFill="1" applyBorder="1" applyAlignment="1">
      <alignment horizontal="center" vertical="center" wrapText="1"/>
    </xf>
    <xf numFmtId="3" fontId="32" fillId="9" borderId="12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12" borderId="12" xfId="1" applyFont="1" applyFill="1" applyBorder="1" applyAlignment="1">
      <alignment horizontal="center" vertical="center" wrapText="1"/>
    </xf>
    <xf numFmtId="3" fontId="35" fillId="9" borderId="12" xfId="0" applyNumberFormat="1" applyFont="1" applyFill="1" applyBorder="1" applyAlignment="1">
      <alignment horizontal="right" vertical="center" wrapText="1"/>
    </xf>
    <xf numFmtId="49" fontId="29" fillId="0" borderId="12" xfId="4" applyNumberFormat="1" applyFont="1" applyBorder="1" applyAlignment="1">
      <alignment horizontal="left" vertical="center" wrapText="1"/>
    </xf>
    <xf numFmtId="3" fontId="36" fillId="0" borderId="12" xfId="4" applyNumberFormat="1" applyFont="1" applyBorder="1" applyAlignment="1">
      <alignment horizontal="right" vertical="center"/>
    </xf>
    <xf numFmtId="3" fontId="28" fillId="12" borderId="12" xfId="1" applyNumberFormat="1" applyFont="1" applyFill="1" applyBorder="1" applyAlignment="1">
      <alignment horizontal="right" vertical="center"/>
    </xf>
    <xf numFmtId="3" fontId="36" fillId="0" borderId="12" xfId="4" applyNumberFormat="1" applyFont="1" applyBorder="1" applyAlignment="1">
      <alignment horizontal="left" vertical="center"/>
    </xf>
    <xf numFmtId="3" fontId="37" fillId="12" borderId="12" xfId="1" applyNumberFormat="1" applyFont="1" applyFill="1" applyBorder="1" applyAlignment="1">
      <alignment horizontal="left" vertical="center" wrapText="1"/>
    </xf>
    <xf numFmtId="49" fontId="37" fillId="12" borderId="12" xfId="1" applyNumberFormat="1" applyFont="1" applyFill="1" applyBorder="1" applyAlignment="1">
      <alignment horizontal="left" vertical="center" wrapText="1"/>
    </xf>
    <xf numFmtId="4" fontId="23" fillId="10" borderId="0" xfId="0" applyNumberFormat="1" applyFont="1" applyFill="1" applyBorder="1" applyAlignment="1" applyProtection="1"/>
    <xf numFmtId="4" fontId="23" fillId="10" borderId="0" xfId="0" applyNumberFormat="1" applyFont="1" applyFill="1"/>
    <xf numFmtId="10" fontId="23" fillId="10" borderId="0" xfId="0" applyNumberFormat="1" applyFont="1" applyFill="1" applyBorder="1" applyAlignment="1" applyProtection="1"/>
    <xf numFmtId="4" fontId="7" fillId="13" borderId="0" xfId="0" applyNumberFormat="1" applyFont="1" applyFill="1"/>
    <xf numFmtId="4" fontId="23" fillId="14" borderId="0" xfId="0" applyNumberFormat="1" applyFont="1" applyFill="1"/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</xf>
    <xf numFmtId="0" fontId="7" fillId="0" borderId="0" xfId="0" applyFont="1" applyAlignment="1">
      <alignment horizontal="left" wrapText="1"/>
    </xf>
    <xf numFmtId="0" fontId="7" fillId="8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8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0" fontId="7" fillId="1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3" fillId="14" borderId="0" xfId="0" applyFont="1" applyFill="1" applyAlignment="1"/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7" fillId="13" borderId="0" xfId="0" applyFont="1" applyFill="1" applyAlignment="1">
      <alignment horizontal="left"/>
    </xf>
    <xf numFmtId="171" fontId="38" fillId="10" borderId="0" xfId="0" applyNumberFormat="1" applyFont="1" applyFill="1" applyBorder="1" applyAlignment="1" applyProtection="1"/>
    <xf numFmtId="171" fontId="23" fillId="10" borderId="0" xfId="0" applyNumberFormat="1" applyFont="1" applyFill="1" applyBorder="1" applyAlignment="1" applyProtection="1"/>
    <xf numFmtId="171" fontId="7" fillId="13" borderId="0" xfId="0" applyNumberFormat="1" applyFont="1" applyFill="1" applyBorder="1" applyAlignment="1" applyProtection="1"/>
    <xf numFmtId="171" fontId="7" fillId="8" borderId="0" xfId="0" applyNumberFormat="1" applyFont="1" applyFill="1" applyBorder="1" applyAlignment="1" applyProtection="1"/>
    <xf numFmtId="171" fontId="7" fillId="0" borderId="0" xfId="0" applyNumberFormat="1" applyFont="1" applyBorder="1" applyAlignment="1" applyProtection="1"/>
    <xf numFmtId="171" fontId="38" fillId="14" borderId="0" xfId="0" applyNumberFormat="1" applyFont="1" applyFill="1" applyBorder="1" applyAlignment="1" applyProtection="1"/>
    <xf numFmtId="171" fontId="23" fillId="14" borderId="0" xfId="0" applyNumberFormat="1" applyFont="1" applyFill="1" applyBorder="1" applyAlignment="1" applyProtection="1"/>
    <xf numFmtId="171" fontId="23" fillId="13" borderId="0" xfId="0" applyNumberFormat="1" applyFont="1" applyFill="1" applyBorder="1" applyAlignment="1" applyProtection="1"/>
    <xf numFmtId="0" fontId="6" fillId="10" borderId="0" xfId="0" applyFont="1" applyFill="1" applyBorder="1" applyAlignment="1" applyProtection="1">
      <alignment wrapText="1"/>
    </xf>
    <xf numFmtId="4" fontId="6" fillId="10" borderId="0" xfId="0" applyNumberFormat="1" applyFont="1" applyFill="1" applyBorder="1" applyAlignment="1" applyProtection="1">
      <alignment wrapText="1"/>
    </xf>
    <xf numFmtId="171" fontId="6" fillId="10" borderId="0" xfId="0" applyNumberFormat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wrapText="1"/>
    </xf>
    <xf numFmtId="0" fontId="40" fillId="0" borderId="0" xfId="0" applyFont="1"/>
    <xf numFmtId="0" fontId="40" fillId="0" borderId="9" xfId="0" applyFont="1" applyFill="1" applyBorder="1" applyAlignment="1" applyProtection="1">
      <alignment vertical="center" wrapText="1" readingOrder="1"/>
      <protection locked="0"/>
    </xf>
    <xf numFmtId="0" fontId="40" fillId="0" borderId="8" xfId="0" applyFont="1" applyFill="1" applyBorder="1" applyAlignment="1" applyProtection="1">
      <alignment horizontal="center" vertical="center" wrapText="1" readingOrder="1"/>
      <protection locked="0"/>
    </xf>
    <xf numFmtId="0" fontId="40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9" xfId="0" applyFont="1" applyFill="1" applyBorder="1" applyAlignment="1" applyProtection="1">
      <alignment horizontal="center" vertical="top" wrapText="1" readingOrder="1"/>
      <protection locked="0"/>
    </xf>
    <xf numFmtId="0" fontId="40" fillId="0" borderId="8" xfId="0" applyFont="1" applyFill="1" applyBorder="1" applyAlignment="1" applyProtection="1">
      <alignment horizontal="right" vertical="top" wrapText="1" readingOrder="1"/>
      <protection locked="0"/>
    </xf>
    <xf numFmtId="0" fontId="40" fillId="0" borderId="8" xfId="0" applyFont="1" applyFill="1" applyBorder="1" applyAlignment="1" applyProtection="1">
      <alignment vertical="top" wrapText="1"/>
      <protection locked="0"/>
    </xf>
    <xf numFmtId="169" fontId="41" fillId="0" borderId="9" xfId="0" applyNumberFormat="1" applyFont="1" applyFill="1" applyBorder="1" applyAlignment="1" applyProtection="1">
      <alignment vertical="top" readingOrder="1"/>
      <protection locked="0"/>
    </xf>
    <xf numFmtId="2" fontId="40" fillId="0" borderId="8" xfId="0" applyNumberFormat="1" applyFont="1" applyFill="1" applyBorder="1"/>
    <xf numFmtId="0" fontId="41" fillId="0" borderId="8" xfId="0" applyFont="1" applyFill="1" applyBorder="1" applyAlignment="1" applyProtection="1">
      <alignment vertical="top" wrapText="1" readingOrder="1"/>
      <protection locked="0"/>
    </xf>
    <xf numFmtId="0" fontId="40" fillId="0" borderId="8" xfId="0" applyFont="1" applyFill="1" applyBorder="1" applyAlignment="1" applyProtection="1">
      <alignment vertical="top" wrapText="1" readingOrder="1"/>
      <protection locked="0"/>
    </xf>
    <xf numFmtId="169" fontId="40" fillId="0" borderId="9" xfId="0" applyNumberFormat="1" applyFont="1" applyFill="1" applyBorder="1" applyAlignment="1" applyProtection="1">
      <alignment vertical="top" readingOrder="1"/>
      <protection locked="0"/>
    </xf>
    <xf numFmtId="169" fontId="40" fillId="0" borderId="8" xfId="0" applyNumberFormat="1" applyFont="1" applyFill="1" applyBorder="1" applyAlignment="1" applyProtection="1">
      <alignment vertical="top" wrapText="1" readingOrder="1"/>
      <protection locked="0"/>
    </xf>
    <xf numFmtId="0" fontId="41" fillId="0" borderId="0" xfId="0" applyFont="1" applyFill="1" applyAlignment="1">
      <alignment horizontal="left"/>
    </xf>
    <xf numFmtId="0" fontId="40" fillId="0" borderId="0" xfId="0" applyFont="1" applyFill="1"/>
    <xf numFmtId="0" fontId="40" fillId="0" borderId="9" xfId="0" applyFont="1" applyFill="1" applyBorder="1" applyAlignment="1" applyProtection="1">
      <alignment horizontal="left" vertical="top" wrapText="1" readingOrder="1"/>
      <protection locked="0"/>
    </xf>
    <xf numFmtId="0" fontId="40" fillId="0" borderId="10" xfId="0" applyFont="1" applyFill="1" applyBorder="1" applyAlignment="1" applyProtection="1">
      <alignment vertical="top" wrapText="1" readingOrder="1"/>
      <protection locked="0"/>
    </xf>
    <xf numFmtId="0" fontId="41" fillId="0" borderId="9" xfId="0" applyFont="1" applyFill="1" applyBorder="1" applyAlignment="1" applyProtection="1">
      <alignment horizontal="left" vertical="top" wrapText="1" readingOrder="1"/>
      <protection locked="0"/>
    </xf>
    <xf numFmtId="169" fontId="41" fillId="0" borderId="8" xfId="0" applyNumberFormat="1" applyFont="1" applyFill="1" applyBorder="1" applyAlignment="1" applyProtection="1">
      <alignment vertical="top" wrapText="1" readingOrder="1"/>
      <protection locked="0"/>
    </xf>
    <xf numFmtId="0" fontId="40" fillId="0" borderId="8" xfId="0" applyFont="1" applyFill="1" applyBorder="1" applyAlignment="1" applyProtection="1">
      <alignment horizontal="left" vertical="top" wrapText="1" readingOrder="1"/>
      <protection locked="0"/>
    </xf>
    <xf numFmtId="0" fontId="41" fillId="0" borderId="8" xfId="0" applyFont="1" applyFill="1" applyBorder="1" applyAlignment="1" applyProtection="1">
      <alignment horizontal="left" vertical="top" wrapText="1" readingOrder="1"/>
      <protection locked="0"/>
    </xf>
    <xf numFmtId="0" fontId="40" fillId="0" borderId="9" xfId="0" applyFont="1" applyFill="1" applyBorder="1" applyAlignment="1" applyProtection="1">
      <alignment vertical="top" wrapText="1" readingOrder="1"/>
      <protection locked="0"/>
    </xf>
    <xf numFmtId="0" fontId="41" fillId="0" borderId="9" xfId="0" applyFont="1" applyFill="1" applyBorder="1" applyAlignment="1" applyProtection="1">
      <alignment vertical="top" wrapText="1" readingOrder="1"/>
      <protection locked="0"/>
    </xf>
    <xf numFmtId="0" fontId="41" fillId="0" borderId="10" xfId="0" applyFont="1" applyFill="1" applyBorder="1" applyAlignment="1" applyProtection="1">
      <alignment vertical="top" wrapText="1" readingOrder="1"/>
      <protection locked="0"/>
    </xf>
    <xf numFmtId="0" fontId="41" fillId="0" borderId="10" xfId="0" applyFont="1" applyFill="1" applyBorder="1" applyAlignment="1" applyProtection="1">
      <alignment horizontal="left" vertical="top" wrapText="1" readingOrder="1"/>
      <protection locked="0"/>
    </xf>
    <xf numFmtId="0" fontId="40" fillId="0" borderId="10" xfId="0" applyFont="1" applyFill="1" applyBorder="1" applyAlignment="1" applyProtection="1">
      <alignment horizontal="left" vertical="top" wrapText="1" readingOrder="1"/>
      <protection locked="0"/>
    </xf>
    <xf numFmtId="169" fontId="41" fillId="14" borderId="9" xfId="0" applyNumberFormat="1" applyFont="1" applyFill="1" applyBorder="1" applyAlignment="1" applyProtection="1">
      <alignment vertical="top" readingOrder="1"/>
      <protection locked="0"/>
    </xf>
    <xf numFmtId="2" fontId="40" fillId="14" borderId="8" xfId="0" applyNumberFormat="1" applyFont="1" applyFill="1" applyBorder="1"/>
    <xf numFmtId="169" fontId="41" fillId="13" borderId="9" xfId="0" applyNumberFormat="1" applyFont="1" applyFill="1" applyBorder="1" applyAlignment="1" applyProtection="1">
      <alignment vertical="top" readingOrder="1"/>
      <protection locked="0"/>
    </xf>
    <xf numFmtId="2" fontId="40" fillId="13" borderId="8" xfId="0" applyNumberFormat="1" applyFont="1" applyFill="1" applyBorder="1"/>
    <xf numFmtId="4" fontId="3" fillId="0" borderId="8" xfId="0" applyNumberFormat="1" applyFont="1" applyBorder="1" applyAlignment="1" applyProtection="1">
      <alignment horizontal="right"/>
    </xf>
    <xf numFmtId="0" fontId="0" fillId="0" borderId="8" xfId="0" applyBorder="1"/>
    <xf numFmtId="4" fontId="6" fillId="0" borderId="9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10" borderId="8" xfId="0" applyFont="1" applyFill="1" applyBorder="1" applyAlignment="1">
      <alignment horizontal="center" wrapText="1"/>
    </xf>
    <xf numFmtId="0" fontId="10" fillId="10" borderId="8" xfId="0" applyFont="1" applyFill="1" applyBorder="1" applyAlignment="1">
      <alignment wrapText="1"/>
    </xf>
    <xf numFmtId="4" fontId="6" fillId="10" borderId="9" xfId="0" applyNumberFormat="1" applyFont="1" applyFill="1" applyBorder="1" applyAlignment="1">
      <alignment horizontal="right"/>
    </xf>
    <xf numFmtId="4" fontId="6" fillId="10" borderId="1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0" xfId="0" applyFont="1"/>
    <xf numFmtId="0" fontId="6" fillId="10" borderId="8" xfId="0" applyFont="1" applyFill="1" applyBorder="1" applyAlignment="1">
      <alignment horizontal="center"/>
    </xf>
    <xf numFmtId="0" fontId="10" fillId="10" borderId="8" xfId="0" applyFont="1" applyFill="1" applyBorder="1"/>
    <xf numFmtId="0" fontId="6" fillId="10" borderId="9" xfId="0" applyFont="1" applyFill="1" applyBorder="1" applyAlignment="1">
      <alignment horizontal="center" wrapText="1"/>
    </xf>
    <xf numFmtId="0" fontId="6" fillId="10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10" borderId="8" xfId="0" applyFont="1" applyFill="1" applyBorder="1"/>
    <xf numFmtId="0" fontId="0" fillId="10" borderId="8" xfId="0" applyFill="1" applyBorder="1"/>
    <xf numFmtId="4" fontId="3" fillId="10" borderId="8" xfId="0" applyNumberFormat="1" applyFont="1" applyFill="1" applyBorder="1" applyAlignment="1" applyProtection="1">
      <alignment horizontal="right"/>
    </xf>
    <xf numFmtId="0" fontId="3" fillId="0" borderId="8" xfId="0" applyFont="1" applyBorder="1"/>
    <xf numFmtId="0" fontId="3" fillId="11" borderId="8" xfId="0" applyFont="1" applyFill="1" applyBorder="1"/>
    <xf numFmtId="0" fontId="0" fillId="11" borderId="8" xfId="0" applyFill="1" applyBorder="1"/>
    <xf numFmtId="0" fontId="3" fillId="0" borderId="0" xfId="0" applyFont="1" applyBorder="1"/>
    <xf numFmtId="0" fontId="0" fillId="0" borderId="0" xfId="0" applyBorder="1"/>
    <xf numFmtId="4" fontId="3" fillId="0" borderId="0" xfId="0" applyNumberFormat="1" applyFont="1" applyBorder="1" applyAlignment="1" applyProtection="1">
      <alignment horizontal="right"/>
    </xf>
    <xf numFmtId="0" fontId="23" fillId="0" borderId="8" xfId="0" applyFont="1" applyFill="1" applyBorder="1" applyAlignment="1">
      <alignment horizontal="left"/>
    </xf>
    <xf numFmtId="0" fontId="22" fillId="0" borderId="8" xfId="0" applyFont="1" applyFill="1" applyBorder="1"/>
    <xf numFmtId="4" fontId="6" fillId="0" borderId="9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0" fontId="24" fillId="9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wrapText="1"/>
    </xf>
    <xf numFmtId="0" fontId="0" fillId="10" borderId="8" xfId="0" applyFill="1" applyBorder="1" applyAlignment="1">
      <alignment wrapText="1"/>
    </xf>
    <xf numFmtId="4" fontId="3" fillId="0" borderId="9" xfId="0" applyNumberFormat="1" applyFont="1" applyBorder="1" applyAlignment="1" applyProtection="1">
      <alignment horizontal="right"/>
    </xf>
    <xf numFmtId="4" fontId="3" fillId="0" borderId="11" xfId="0" applyNumberFormat="1" applyFont="1" applyBorder="1" applyAlignment="1" applyProtection="1">
      <alignment horizontal="right"/>
    </xf>
    <xf numFmtId="4" fontId="3" fillId="10" borderId="9" xfId="0" applyNumberFormat="1" applyFont="1" applyFill="1" applyBorder="1" applyAlignment="1" applyProtection="1">
      <alignment horizontal="right"/>
    </xf>
    <xf numFmtId="4" fontId="3" fillId="10" borderId="11" xfId="0" applyNumberFormat="1" applyFont="1" applyFill="1" applyBorder="1" applyAlignment="1" applyProtection="1">
      <alignment horizontal="right"/>
    </xf>
    <xf numFmtId="0" fontId="25" fillId="12" borderId="0" xfId="1" applyFont="1" applyFill="1" applyAlignment="1">
      <alignment horizontal="center" vertical="center" wrapText="1"/>
    </xf>
    <xf numFmtId="0" fontId="27" fillId="12" borderId="0" xfId="1" applyFont="1" applyFill="1" applyAlignment="1">
      <alignment vertical="center" wrapText="1"/>
    </xf>
    <xf numFmtId="0" fontId="27" fillId="12" borderId="0" xfId="1" applyFont="1" applyFill="1" applyAlignment="1">
      <alignment wrapText="1"/>
    </xf>
    <xf numFmtId="0" fontId="6" fillId="0" borderId="0" xfId="0" applyFont="1" applyBorder="1" applyAlignment="1" applyProtection="1">
      <alignment horizontal="center" wrapText="1"/>
    </xf>
    <xf numFmtId="0" fontId="41" fillId="0" borderId="10" xfId="0" applyFont="1" applyFill="1" applyBorder="1" applyAlignment="1" applyProtection="1">
      <alignment horizontal="left" vertical="top" wrapText="1" readingOrder="1"/>
      <protection locked="0"/>
    </xf>
    <xf numFmtId="0" fontId="40" fillId="0" borderId="10" xfId="0" applyFont="1" applyFill="1" applyBorder="1" applyAlignment="1" applyProtection="1">
      <alignment horizontal="left" vertical="top" wrapText="1" readingOrder="1"/>
      <protection locked="0"/>
    </xf>
    <xf numFmtId="0" fontId="41" fillId="0" borderId="9" xfId="0" applyFont="1" applyFill="1" applyBorder="1" applyAlignment="1" applyProtection="1">
      <alignment vertical="top" wrapText="1" readingOrder="1"/>
      <protection locked="0"/>
    </xf>
    <xf numFmtId="0" fontId="41" fillId="0" borderId="10" xfId="0" applyFont="1" applyFill="1" applyBorder="1" applyAlignment="1" applyProtection="1">
      <alignment vertical="top" wrapText="1" readingOrder="1"/>
      <protection locked="0"/>
    </xf>
    <xf numFmtId="0" fontId="40" fillId="0" borderId="9" xfId="0" applyFont="1" applyFill="1" applyBorder="1" applyAlignment="1" applyProtection="1">
      <alignment vertical="top" wrapText="1" readingOrder="1"/>
      <protection locked="0"/>
    </xf>
    <xf numFmtId="0" fontId="40" fillId="0" borderId="10" xfId="0" applyFont="1" applyFill="1" applyBorder="1" applyAlignment="1" applyProtection="1">
      <alignment vertical="top" wrapText="1" readingOrder="1"/>
      <protection locked="0"/>
    </xf>
    <xf numFmtId="0" fontId="41" fillId="0" borderId="9" xfId="0" applyFont="1" applyFill="1" applyBorder="1" applyAlignment="1" applyProtection="1">
      <alignment horizontal="left" vertical="top" wrapText="1" readingOrder="1"/>
      <protection locked="0"/>
    </xf>
    <xf numFmtId="0" fontId="40" fillId="0" borderId="9" xfId="0" applyFont="1" applyFill="1" applyBorder="1" applyAlignment="1" applyProtection="1">
      <alignment horizontal="center" vertical="center" wrapText="1" readingOrder="1"/>
      <protection locked="0"/>
    </xf>
    <xf numFmtId="0" fontId="40" fillId="0" borderId="10" xfId="0" applyFont="1" applyFill="1" applyBorder="1" applyAlignment="1" applyProtection="1">
      <alignment horizontal="center" vertical="center" wrapText="1" readingOrder="1"/>
      <protection locked="0"/>
    </xf>
    <xf numFmtId="0" fontId="39" fillId="0" borderId="2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6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40" fillId="0" borderId="9" xfId="0" applyFont="1" applyFill="1" applyBorder="1" applyAlignment="1" applyProtection="1">
      <alignment horizontal="center" vertical="top" wrapText="1" readingOrder="1"/>
      <protection locked="0"/>
    </xf>
    <xf numFmtId="0" fontId="40" fillId="0" borderId="10" xfId="0" applyFont="1" applyFill="1" applyBorder="1" applyAlignment="1" applyProtection="1">
      <alignment horizontal="center" vertical="top" wrapText="1" readingOrder="1"/>
      <protection locked="0"/>
    </xf>
    <xf numFmtId="0" fontId="41" fillId="14" borderId="9" xfId="0" applyFont="1" applyFill="1" applyBorder="1" applyAlignment="1" applyProtection="1">
      <alignment vertical="top" wrapText="1" readingOrder="1"/>
      <protection locked="0"/>
    </xf>
    <xf numFmtId="0" fontId="41" fillId="14" borderId="10" xfId="0" applyFont="1" applyFill="1" applyBorder="1" applyAlignment="1" applyProtection="1">
      <alignment vertical="top" wrapText="1" readingOrder="1"/>
      <protection locked="0"/>
    </xf>
    <xf numFmtId="0" fontId="41" fillId="13" borderId="9" xfId="0" applyFont="1" applyFill="1" applyBorder="1" applyAlignment="1" applyProtection="1">
      <alignment vertical="top" wrapText="1" readingOrder="1"/>
      <protection locked="0"/>
    </xf>
    <xf numFmtId="0" fontId="41" fillId="13" borderId="10" xfId="0" applyFont="1" applyFill="1" applyBorder="1" applyAlignment="1" applyProtection="1">
      <alignment vertical="top" wrapText="1" readingOrder="1"/>
      <protection locked="0"/>
    </xf>
    <xf numFmtId="0" fontId="18" fillId="0" borderId="0" xfId="0" applyFont="1" applyAlignment="1" applyProtection="1">
      <alignment vertical="top" wrapText="1" readingOrder="1"/>
      <protection locked="0"/>
    </xf>
    <xf numFmtId="169" fontId="18" fillId="0" borderId="0" xfId="0" applyNumberFormat="1" applyFont="1" applyAlignment="1" applyProtection="1">
      <alignment vertical="top" wrapText="1" readingOrder="1"/>
      <protection locked="0"/>
    </xf>
    <xf numFmtId="170" fontId="18" fillId="0" borderId="0" xfId="0" applyNumberFormat="1" applyFont="1" applyAlignment="1" applyProtection="1">
      <alignment vertical="top" wrapText="1" readingOrder="1"/>
      <protection locked="0"/>
    </xf>
    <xf numFmtId="169" fontId="19" fillId="0" borderId="0" xfId="0" applyNumberFormat="1" applyFont="1" applyAlignment="1" applyProtection="1">
      <alignment vertical="top" wrapText="1" readingOrder="1"/>
      <protection locked="0"/>
    </xf>
    <xf numFmtId="170" fontId="19" fillId="0" borderId="0" xfId="0" applyNumberFormat="1" applyFont="1" applyAlignment="1" applyProtection="1">
      <alignment vertical="top" wrapText="1" readingOrder="1"/>
      <protection locked="0"/>
    </xf>
    <xf numFmtId="0" fontId="19" fillId="0" borderId="0" xfId="0" applyFont="1" applyAlignment="1" applyProtection="1">
      <alignment vertical="top" wrapText="1" readingOrder="1"/>
      <protection locked="0"/>
    </xf>
    <xf numFmtId="169" fontId="17" fillId="6" borderId="0" xfId="0" applyNumberFormat="1" applyFont="1" applyFill="1" applyAlignment="1" applyProtection="1">
      <alignment vertical="top" wrapText="1" readingOrder="1"/>
      <protection locked="0"/>
    </xf>
    <xf numFmtId="170" fontId="17" fillId="6" borderId="0" xfId="0" applyNumberFormat="1" applyFont="1" applyFill="1" applyAlignment="1" applyProtection="1">
      <alignment vertical="top" wrapText="1" readingOrder="1"/>
      <protection locked="0"/>
    </xf>
    <xf numFmtId="0" fontId="17" fillId="6" borderId="0" xfId="0" applyFont="1" applyFill="1" applyAlignment="1" applyProtection="1">
      <alignment vertical="top" wrapText="1" readingOrder="1"/>
      <protection locked="0"/>
    </xf>
    <xf numFmtId="169" fontId="18" fillId="7" borderId="0" xfId="0" applyNumberFormat="1" applyFont="1" applyFill="1" applyAlignment="1" applyProtection="1">
      <alignment vertical="top" wrapText="1" readingOrder="1"/>
      <protection locked="0"/>
    </xf>
    <xf numFmtId="170" fontId="18" fillId="7" borderId="0" xfId="0" applyNumberFormat="1" applyFont="1" applyFill="1" applyAlignment="1" applyProtection="1">
      <alignment vertical="top" wrapText="1" readingOrder="1"/>
      <protection locked="0"/>
    </xf>
    <xf numFmtId="0" fontId="18" fillId="7" borderId="0" xfId="0" applyFont="1" applyFill="1" applyAlignment="1" applyProtection="1">
      <alignment vertical="top" wrapText="1" readingOrder="1"/>
      <protection locked="0"/>
    </xf>
    <xf numFmtId="170" fontId="17" fillId="2" borderId="0" xfId="0" applyNumberFormat="1" applyFont="1" applyFill="1" applyAlignment="1" applyProtection="1">
      <alignment vertical="top" wrapText="1" readingOrder="1"/>
      <protection locked="0"/>
    </xf>
    <xf numFmtId="0" fontId="17" fillId="3" borderId="0" xfId="0" applyFont="1" applyFill="1" applyAlignment="1" applyProtection="1">
      <alignment vertical="top" wrapText="1" readingOrder="1"/>
      <protection locked="0"/>
    </xf>
    <xf numFmtId="169" fontId="17" fillId="3" borderId="0" xfId="0" applyNumberFormat="1" applyFont="1" applyFill="1" applyAlignment="1" applyProtection="1">
      <alignment vertical="top" wrapText="1" readingOrder="1"/>
      <protection locked="0"/>
    </xf>
    <xf numFmtId="170" fontId="17" fillId="3" borderId="0" xfId="0" applyNumberFormat="1" applyFont="1" applyFill="1" applyAlignment="1" applyProtection="1">
      <alignment vertical="top" wrapText="1" readingOrder="1"/>
      <protection locked="0"/>
    </xf>
    <xf numFmtId="169" fontId="17" fillId="4" borderId="0" xfId="0" applyNumberFormat="1" applyFont="1" applyFill="1" applyAlignment="1" applyProtection="1">
      <alignment vertical="top" wrapText="1" readingOrder="1"/>
      <protection locked="0"/>
    </xf>
    <xf numFmtId="170" fontId="17" fillId="4" borderId="0" xfId="0" applyNumberFormat="1" applyFont="1" applyFill="1" applyAlignment="1" applyProtection="1">
      <alignment vertical="top" wrapText="1" readingOrder="1"/>
      <protection locked="0"/>
    </xf>
    <xf numFmtId="0" fontId="17" fillId="5" borderId="0" xfId="0" applyFont="1" applyFill="1" applyAlignment="1" applyProtection="1">
      <alignment vertical="top" wrapText="1" readingOrder="1"/>
      <protection locked="0"/>
    </xf>
    <xf numFmtId="169" fontId="17" fillId="5" borderId="0" xfId="0" applyNumberFormat="1" applyFont="1" applyFill="1" applyAlignment="1" applyProtection="1">
      <alignment vertical="top" wrapText="1" readingOrder="1"/>
      <protection locked="0"/>
    </xf>
    <xf numFmtId="170" fontId="17" fillId="5" borderId="0" xfId="0" applyNumberFormat="1" applyFont="1" applyFill="1" applyAlignment="1" applyProtection="1">
      <alignment vertical="top" wrapText="1" readingOrder="1"/>
      <protection locked="0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6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right" vertical="top" wrapText="1" readingOrder="1"/>
      <protection locked="0"/>
    </xf>
    <xf numFmtId="0" fontId="17" fillId="4" borderId="0" xfId="0" applyFont="1" applyFill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167" fontId="13" fillId="0" borderId="0" xfId="0" applyNumberFormat="1" applyFont="1" applyAlignment="1" applyProtection="1">
      <alignment horizontal="left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168" fontId="13" fillId="0" borderId="0" xfId="0" applyNumberFormat="1" applyFont="1" applyAlignment="1" applyProtection="1">
      <alignment horizontal="left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20" fillId="0" borderId="0" xfId="0" applyFont="1" applyAlignment="1">
      <alignment horizontal="center" vertical="center"/>
    </xf>
    <xf numFmtId="0" fontId="17" fillId="2" borderId="0" xfId="0" applyFont="1" applyFill="1" applyAlignment="1" applyProtection="1">
      <alignment vertical="top" wrapText="1" readingOrder="1"/>
      <protection locked="0"/>
    </xf>
    <xf numFmtId="169" fontId="17" fillId="2" borderId="0" xfId="0" applyNumberFormat="1" applyFont="1" applyFill="1" applyAlignment="1" applyProtection="1">
      <alignment vertical="top" wrapText="1" readingOrder="1"/>
      <protection locked="0"/>
    </xf>
  </cellXfs>
  <cellStyles count="5">
    <cellStyle name="Normalno" xfId="0" builtinId="0"/>
    <cellStyle name="Normalno 2" xfId="1" xr:uid="{00000000-0005-0000-0000-000001000000}"/>
    <cellStyle name="Normalno 4" xfId="4" xr:uid="{27E0D4ED-B2AF-4E25-B7A7-9F4D3681135F}"/>
    <cellStyle name="Obično_List7" xfId="2" xr:uid="{00000000-0005-0000-0000-000002000000}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opLeftCell="A7" workbookViewId="0">
      <selection activeCell="V11" sqref="V11"/>
    </sheetView>
  </sheetViews>
  <sheetFormatPr defaultRowHeight="12.75" x14ac:dyDescent="0.2"/>
  <cols>
    <col min="7" max="7" width="1.85546875" customWidth="1"/>
    <col min="8" max="8" width="7.7109375" hidden="1" customWidth="1"/>
    <col min="9" max="9" width="0.42578125" hidden="1" customWidth="1"/>
    <col min="10" max="11" width="9.140625" hidden="1" customWidth="1"/>
    <col min="12" max="12" width="1.7109375" hidden="1" customWidth="1"/>
    <col min="14" max="14" width="4" customWidth="1"/>
    <col min="15" max="15" width="4" style="34" customWidth="1"/>
    <col min="16" max="16" width="10.5703125" customWidth="1"/>
    <col min="18" max="18" width="6.5703125" customWidth="1"/>
    <col min="19" max="19" width="2.28515625" customWidth="1"/>
    <col min="20" max="20" width="12.85546875" customWidth="1"/>
  </cols>
  <sheetData>
    <row r="1" spans="1:20" x14ac:dyDescent="0.2">
      <c r="A1" s="142"/>
      <c r="B1" s="142"/>
      <c r="C1" s="1"/>
      <c r="D1" s="2"/>
    </row>
    <row r="2" spans="1:20" x14ac:dyDescent="0.2">
      <c r="A2" s="8" t="s">
        <v>399</v>
      </c>
      <c r="B2" s="5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20" x14ac:dyDescent="0.2">
      <c r="A4" s="142" t="s">
        <v>0</v>
      </c>
      <c r="B4" s="142"/>
    </row>
    <row r="5" spans="1:20" x14ac:dyDescent="0.2">
      <c r="A5" s="142"/>
      <c r="B5" s="142"/>
    </row>
    <row r="6" spans="1:20" ht="15.75" x14ac:dyDescent="0.25">
      <c r="A6" s="144" t="s">
        <v>348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1:20" ht="15.75" x14ac:dyDescent="0.25">
      <c r="A7" s="144" t="s">
        <v>400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9" spans="1:20" ht="15.75" customHeight="1" x14ac:dyDescent="0.2">
      <c r="E9" s="169" t="s">
        <v>440</v>
      </c>
      <c r="F9" s="169"/>
      <c r="G9" s="169"/>
      <c r="H9" s="169"/>
      <c r="I9" s="169"/>
      <c r="J9" s="169"/>
      <c r="K9" s="169"/>
      <c r="L9" s="169"/>
      <c r="M9" s="169"/>
      <c r="N9" s="169"/>
    </row>
    <row r="11" spans="1:20" ht="35.25" customHeight="1" x14ac:dyDescent="0.2">
      <c r="A11" s="146" t="s">
        <v>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37" t="s">
        <v>407</v>
      </c>
      <c r="N11" s="138"/>
      <c r="O11" s="137" t="s">
        <v>408</v>
      </c>
      <c r="P11" s="138"/>
      <c r="Q11" s="137" t="s">
        <v>401</v>
      </c>
      <c r="R11" s="138"/>
      <c r="S11" s="148" t="s">
        <v>402</v>
      </c>
      <c r="T11" s="149"/>
    </row>
    <row r="12" spans="1:20" ht="21.75" customHeight="1" x14ac:dyDescent="0.2">
      <c r="A12" s="150" t="s">
        <v>4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33">
        <v>3226174.3</v>
      </c>
      <c r="N12" s="134"/>
      <c r="O12" s="133">
        <f>M12/7.5345</f>
        <v>428186.91353109025</v>
      </c>
      <c r="P12" s="134"/>
      <c r="Q12" s="133">
        <v>947969.15</v>
      </c>
      <c r="R12" s="134"/>
      <c r="S12" s="135">
        <v>519548.1</v>
      </c>
      <c r="T12" s="136"/>
    </row>
    <row r="13" spans="1:20" ht="24.75" customHeight="1" x14ac:dyDescent="0.2">
      <c r="A13" s="150" t="s">
        <v>5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33">
        <v>0</v>
      </c>
      <c r="N13" s="134"/>
      <c r="O13" s="133">
        <v>0</v>
      </c>
      <c r="P13" s="134"/>
      <c r="Q13" s="133">
        <v>0</v>
      </c>
      <c r="R13" s="134"/>
      <c r="S13" s="135">
        <v>0</v>
      </c>
      <c r="T13" s="136"/>
    </row>
    <row r="14" spans="1:20" ht="31.5" customHeight="1" x14ac:dyDescent="0.2">
      <c r="A14" s="152" t="s">
        <v>6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4">
        <f>M12+M13</f>
        <v>3226174.3</v>
      </c>
      <c r="N14" s="153"/>
      <c r="O14" s="154">
        <f>O12+O13</f>
        <v>428186.91353109025</v>
      </c>
      <c r="P14" s="153"/>
      <c r="Q14" s="154">
        <f>Q12+Q13</f>
        <v>947969.15</v>
      </c>
      <c r="R14" s="153"/>
      <c r="S14" s="139">
        <f>S12+S13</f>
        <v>519548.1</v>
      </c>
      <c r="T14" s="140"/>
    </row>
    <row r="15" spans="1:20" ht="21.75" customHeight="1" x14ac:dyDescent="0.2">
      <c r="A15" s="155" t="s">
        <v>7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3">
        <v>3229035.69</v>
      </c>
      <c r="N15" s="134"/>
      <c r="O15" s="133">
        <f>M15/7.5345</f>
        <v>428566.6852478598</v>
      </c>
      <c r="P15" s="134"/>
      <c r="Q15" s="133">
        <f>956162.15-Q16</f>
        <v>933562.15</v>
      </c>
      <c r="R15" s="134"/>
      <c r="S15" s="135">
        <v>504704.98</v>
      </c>
      <c r="T15" s="136"/>
    </row>
    <row r="16" spans="1:20" ht="30" customHeight="1" x14ac:dyDescent="0.2">
      <c r="A16" s="155" t="s">
        <v>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3">
        <v>0</v>
      </c>
      <c r="N16" s="134"/>
      <c r="O16" s="133">
        <v>0</v>
      </c>
      <c r="P16" s="134"/>
      <c r="Q16" s="133">
        <f>3700+5950+395+2655+400+9500</f>
        <v>22600</v>
      </c>
      <c r="R16" s="134"/>
      <c r="S16" s="135">
        <v>11530.05</v>
      </c>
      <c r="T16" s="136"/>
    </row>
    <row r="17" spans="1:20" ht="31.5" customHeight="1" x14ac:dyDescent="0.2">
      <c r="A17" s="152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4">
        <f>M15+M16</f>
        <v>3229035.69</v>
      </c>
      <c r="N17" s="153"/>
      <c r="O17" s="154">
        <f>O15+O16</f>
        <v>428566.6852478598</v>
      </c>
      <c r="P17" s="153"/>
      <c r="Q17" s="154">
        <f>SUM(Q15:R16)</f>
        <v>956162.15</v>
      </c>
      <c r="R17" s="153"/>
      <c r="S17" s="139">
        <f>S15+S16</f>
        <v>516235.02999999997</v>
      </c>
      <c r="T17" s="140"/>
    </row>
    <row r="18" spans="1:20" ht="17.25" customHeight="1" x14ac:dyDescent="0.2">
      <c r="A18" s="155" t="s">
        <v>10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3">
        <f>M12-M17</f>
        <v>-2861.3900000001304</v>
      </c>
      <c r="N18" s="134"/>
      <c r="O18" s="133">
        <f>O12-O17</f>
        <v>-379.77171676955186</v>
      </c>
      <c r="P18" s="134"/>
      <c r="Q18" s="133">
        <f>Q14-Q17</f>
        <v>-8193</v>
      </c>
      <c r="R18" s="134"/>
      <c r="S18" s="135">
        <f>S14-S17</f>
        <v>3313.070000000007</v>
      </c>
      <c r="T18" s="136"/>
    </row>
    <row r="19" spans="1:20" s="44" customFormat="1" ht="17.25" customHeight="1" x14ac:dyDescent="0.2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2"/>
    </row>
    <row r="20" spans="1:20" s="44" customFormat="1" ht="17.25" customHeight="1" x14ac:dyDescent="0.2">
      <c r="A20" s="170" t="s">
        <v>441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2"/>
    </row>
    <row r="21" spans="1:20" s="44" customFormat="1" ht="37.5" customHeight="1" x14ac:dyDescent="0.2">
      <c r="A21" s="173" t="s">
        <v>442</v>
      </c>
      <c r="B21" s="174"/>
      <c r="C21" s="174"/>
      <c r="D21" s="174"/>
      <c r="E21" s="174"/>
      <c r="F21" s="174"/>
      <c r="G21" s="174"/>
      <c r="H21" s="45"/>
      <c r="I21" s="45"/>
      <c r="J21" s="45"/>
      <c r="K21" s="45"/>
      <c r="L21" s="45"/>
      <c r="M21" s="175" t="s">
        <v>407</v>
      </c>
      <c r="N21" s="176"/>
      <c r="O21" s="175" t="s">
        <v>408</v>
      </c>
      <c r="P21" s="176"/>
      <c r="Q21" s="175" t="s">
        <v>401</v>
      </c>
      <c r="R21" s="176"/>
      <c r="S21" s="177" t="s">
        <v>402</v>
      </c>
      <c r="T21" s="178"/>
    </row>
    <row r="22" spans="1:20" x14ac:dyDescent="0.2">
      <c r="A22" s="155" t="s">
        <v>11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3">
        <v>0</v>
      </c>
      <c r="N22" s="134"/>
      <c r="O22" s="133">
        <v>0</v>
      </c>
      <c r="P22" s="134"/>
      <c r="Q22" s="133">
        <v>0</v>
      </c>
      <c r="R22" s="134"/>
      <c r="S22" s="186">
        <v>0</v>
      </c>
      <c r="T22" s="187"/>
    </row>
    <row r="23" spans="1:20" x14ac:dyDescent="0.2">
      <c r="A23" s="155" t="s">
        <v>12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3">
        <v>0</v>
      </c>
      <c r="N23" s="134"/>
      <c r="O23" s="133">
        <v>0</v>
      </c>
      <c r="P23" s="134"/>
      <c r="Q23" s="133">
        <v>0</v>
      </c>
      <c r="R23" s="134"/>
      <c r="S23" s="186">
        <v>0</v>
      </c>
      <c r="T23" s="187"/>
    </row>
    <row r="24" spans="1:20" ht="28.5" customHeight="1" x14ac:dyDescent="0.2">
      <c r="A24" s="152" t="s">
        <v>443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>
        <v>0</v>
      </c>
      <c r="N24" s="153"/>
      <c r="O24" s="154">
        <v>0</v>
      </c>
      <c r="P24" s="153"/>
      <c r="Q24" s="154">
        <v>0</v>
      </c>
      <c r="R24" s="153"/>
      <c r="S24" s="188">
        <v>0</v>
      </c>
      <c r="T24" s="189"/>
    </row>
    <row r="25" spans="1:20" s="44" customFormat="1" ht="28.5" customHeight="1" x14ac:dyDescent="0.2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</row>
    <row r="26" spans="1:20" s="44" customFormat="1" ht="28.5" customHeight="1" x14ac:dyDescent="0.2">
      <c r="A26" s="179" t="s">
        <v>444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1"/>
    </row>
    <row r="27" spans="1:20" s="44" customFormat="1" ht="28.5" customHeight="1" x14ac:dyDescent="0.2">
      <c r="A27" s="182" t="s">
        <v>445</v>
      </c>
      <c r="B27" s="183"/>
      <c r="C27" s="183"/>
      <c r="D27" s="183"/>
      <c r="E27" s="183"/>
      <c r="F27" s="183"/>
      <c r="G27" s="183"/>
      <c r="H27" s="46"/>
      <c r="I27" s="46"/>
      <c r="J27" s="46"/>
      <c r="K27" s="46"/>
      <c r="L27" s="46"/>
      <c r="M27" s="175" t="s">
        <v>407</v>
      </c>
      <c r="N27" s="176"/>
      <c r="O27" s="175" t="s">
        <v>408</v>
      </c>
      <c r="P27" s="176"/>
      <c r="Q27" s="175" t="s">
        <v>401</v>
      </c>
      <c r="R27" s="176"/>
      <c r="S27" s="177" t="s">
        <v>402</v>
      </c>
      <c r="T27" s="178"/>
    </row>
    <row r="28" spans="1:20" ht="33.75" customHeight="1" x14ac:dyDescent="0.2">
      <c r="A28" s="156" t="s">
        <v>13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33">
        <v>181529</v>
      </c>
      <c r="N28" s="134"/>
      <c r="O28" s="133">
        <f>181529/7.5345</f>
        <v>24093.038688698653</v>
      </c>
      <c r="P28" s="134"/>
      <c r="Q28" s="133">
        <v>24093</v>
      </c>
      <c r="R28" s="134"/>
      <c r="S28" s="186">
        <v>24093</v>
      </c>
      <c r="T28" s="187"/>
    </row>
    <row r="29" spans="1:20" ht="38.25" customHeight="1" x14ac:dyDescent="0.2">
      <c r="A29" s="184" t="s">
        <v>14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54">
        <v>99366</v>
      </c>
      <c r="N29" s="153"/>
      <c r="O29" s="154">
        <f>99366/7.5345</f>
        <v>13188.134580927732</v>
      </c>
      <c r="P29" s="153"/>
      <c r="Q29" s="154">
        <v>8193</v>
      </c>
      <c r="R29" s="153"/>
      <c r="S29" s="188">
        <v>8193</v>
      </c>
      <c r="T29" s="189"/>
    </row>
    <row r="30" spans="1:20" ht="26.25" customHeight="1" x14ac:dyDescent="0.2">
      <c r="A30" s="161" t="s">
        <v>113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3"/>
      <c r="N30" s="164"/>
      <c r="O30" s="165"/>
      <c r="P30" s="166"/>
      <c r="Q30" s="165">
        <v>0</v>
      </c>
      <c r="R30" s="166"/>
      <c r="S30" s="167">
        <v>0</v>
      </c>
      <c r="T30" s="168"/>
    </row>
    <row r="31" spans="1:20" x14ac:dyDescent="0.2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60"/>
      <c r="N31" s="159"/>
      <c r="O31" s="28"/>
      <c r="P31" s="76"/>
      <c r="Q31" s="160"/>
      <c r="R31" s="159"/>
      <c r="S31" s="28"/>
      <c r="T31" s="28"/>
    </row>
    <row r="32" spans="1:20" s="28" customFormat="1" x14ac:dyDescent="0.2"/>
    <row r="33" spans="1:20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8" spans="1:20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</row>
  </sheetData>
  <mergeCells count="95">
    <mergeCell ref="S18:T18"/>
    <mergeCell ref="Q27:R27"/>
    <mergeCell ref="S27:T27"/>
    <mergeCell ref="S28:T28"/>
    <mergeCell ref="S29:T29"/>
    <mergeCell ref="S22:T22"/>
    <mergeCell ref="S23:T23"/>
    <mergeCell ref="S24:T24"/>
    <mergeCell ref="S30:T30"/>
    <mergeCell ref="O30:P30"/>
    <mergeCell ref="E9:N9"/>
    <mergeCell ref="A19:T19"/>
    <mergeCell ref="A20:T20"/>
    <mergeCell ref="A21:G21"/>
    <mergeCell ref="M21:N21"/>
    <mergeCell ref="O21:P21"/>
    <mergeCell ref="Q21:R21"/>
    <mergeCell ref="S21:T21"/>
    <mergeCell ref="A25:T25"/>
    <mergeCell ref="A26:T26"/>
    <mergeCell ref="A27:G27"/>
    <mergeCell ref="M27:N27"/>
    <mergeCell ref="O27:P27"/>
    <mergeCell ref="A29:L29"/>
    <mergeCell ref="A31:L31"/>
    <mergeCell ref="M31:N31"/>
    <mergeCell ref="Q31:R31"/>
    <mergeCell ref="A30:L30"/>
    <mergeCell ref="M30:N30"/>
    <mergeCell ref="Q30:R30"/>
    <mergeCell ref="M29:N29"/>
    <mergeCell ref="Q29:R29"/>
    <mergeCell ref="A28:L28"/>
    <mergeCell ref="M28:N28"/>
    <mergeCell ref="Q28:R28"/>
    <mergeCell ref="O28:P28"/>
    <mergeCell ref="O29:P29"/>
    <mergeCell ref="A24:L24"/>
    <mergeCell ref="M24:N24"/>
    <mergeCell ref="Q24:R24"/>
    <mergeCell ref="A23:L23"/>
    <mergeCell ref="M23:N23"/>
    <mergeCell ref="Q23:R23"/>
    <mergeCell ref="O23:P23"/>
    <mergeCell ref="O24:P24"/>
    <mergeCell ref="A22:L22"/>
    <mergeCell ref="M22:N22"/>
    <mergeCell ref="Q22:R22"/>
    <mergeCell ref="O22:P22"/>
    <mergeCell ref="A18:L18"/>
    <mergeCell ref="M18:N18"/>
    <mergeCell ref="Q18:R18"/>
    <mergeCell ref="A17:L17"/>
    <mergeCell ref="M17:N17"/>
    <mergeCell ref="Q17:R17"/>
    <mergeCell ref="O17:P17"/>
    <mergeCell ref="O18:P18"/>
    <mergeCell ref="A16:L16"/>
    <mergeCell ref="M16:N16"/>
    <mergeCell ref="Q16:R16"/>
    <mergeCell ref="A15:L15"/>
    <mergeCell ref="M15:N15"/>
    <mergeCell ref="Q15:R15"/>
    <mergeCell ref="O15:P15"/>
    <mergeCell ref="O16:P16"/>
    <mergeCell ref="A14:L14"/>
    <mergeCell ref="M14:N14"/>
    <mergeCell ref="Q14:R14"/>
    <mergeCell ref="S14:T14"/>
    <mergeCell ref="A13:L13"/>
    <mergeCell ref="M13:N13"/>
    <mergeCell ref="Q13:R13"/>
    <mergeCell ref="S13:T13"/>
    <mergeCell ref="O14:P14"/>
    <mergeCell ref="S15:T15"/>
    <mergeCell ref="S16:T16"/>
    <mergeCell ref="S17:T17"/>
    <mergeCell ref="A38:R38"/>
    <mergeCell ref="A1:B1"/>
    <mergeCell ref="A4:B4"/>
    <mergeCell ref="A5:B5"/>
    <mergeCell ref="A3:R3"/>
    <mergeCell ref="A6:S6"/>
    <mergeCell ref="A7:S7"/>
    <mergeCell ref="A11:L11"/>
    <mergeCell ref="M11:N11"/>
    <mergeCell ref="Q11:R11"/>
    <mergeCell ref="S11:T11"/>
    <mergeCell ref="A12:L12"/>
    <mergeCell ref="M12:N12"/>
    <mergeCell ref="Q12:R12"/>
    <mergeCell ref="S12:T12"/>
    <mergeCell ref="O11:P11"/>
    <mergeCell ref="O12:P12"/>
    <mergeCell ref="O13:P13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3"/>
  <sheetViews>
    <sheetView tabSelected="1" topLeftCell="A57" workbookViewId="0">
      <selection activeCell="F35" sqref="F35"/>
    </sheetView>
  </sheetViews>
  <sheetFormatPr defaultRowHeight="12.75" x14ac:dyDescent="0.2"/>
  <cols>
    <col min="1" max="1" width="67.5703125" style="35" bestFit="1" customWidth="1"/>
    <col min="2" max="2" width="15.5703125" customWidth="1"/>
    <col min="3" max="3" width="15.5703125" style="34" customWidth="1"/>
    <col min="4" max="4" width="17.85546875" customWidth="1"/>
    <col min="5" max="5" width="14.42578125" bestFit="1" customWidth="1"/>
    <col min="6" max="6" width="10.140625" customWidth="1"/>
    <col min="7" max="7" width="12.28515625" customWidth="1"/>
    <col min="8" max="8" width="9.28515625" customWidth="1"/>
  </cols>
  <sheetData>
    <row r="2" spans="1:8" x14ac:dyDescent="0.2">
      <c r="A2" s="77" t="s">
        <v>405</v>
      </c>
      <c r="B2" s="7"/>
      <c r="C2" s="7"/>
      <c r="D2" s="7"/>
      <c r="E2" s="7"/>
      <c r="F2" s="7"/>
      <c r="G2" s="7"/>
    </row>
    <row r="3" spans="1:8" ht="15.75" customHeight="1" x14ac:dyDescent="0.2">
      <c r="A3" s="77" t="s">
        <v>116</v>
      </c>
      <c r="B3" s="7"/>
      <c r="C3" s="7"/>
      <c r="D3" s="7"/>
      <c r="E3" s="7"/>
      <c r="F3" s="7"/>
      <c r="G3" s="7"/>
    </row>
    <row r="5" spans="1:8" ht="35.25" customHeight="1" x14ac:dyDescent="0.2">
      <c r="A5" s="87" t="s">
        <v>349</v>
      </c>
      <c r="B5" s="47" t="s">
        <v>409</v>
      </c>
      <c r="C5" s="47" t="s">
        <v>410</v>
      </c>
      <c r="D5" s="47" t="s">
        <v>403</v>
      </c>
      <c r="E5" s="47" t="s">
        <v>404</v>
      </c>
      <c r="F5" s="47" t="s">
        <v>351</v>
      </c>
      <c r="G5" s="47" t="s">
        <v>352</v>
      </c>
      <c r="H5" s="5"/>
    </row>
    <row r="6" spans="1:8" ht="14.25" customHeight="1" x14ac:dyDescent="0.2">
      <c r="A6" s="88">
        <v>1</v>
      </c>
      <c r="B6" s="47">
        <v>2</v>
      </c>
      <c r="C6" s="47">
        <v>2</v>
      </c>
      <c r="D6" s="47">
        <v>3</v>
      </c>
      <c r="E6" s="47">
        <v>5</v>
      </c>
      <c r="F6" s="48">
        <v>6</v>
      </c>
      <c r="G6" s="48">
        <v>7</v>
      </c>
      <c r="H6" s="5"/>
    </row>
    <row r="7" spans="1:8" x14ac:dyDescent="0.2">
      <c r="A7" s="89" t="s">
        <v>114</v>
      </c>
      <c r="B7" s="71">
        <f>B8</f>
        <v>3226174.3000000003</v>
      </c>
      <c r="C7" s="71">
        <f>C8</f>
        <v>428186.91353109031</v>
      </c>
      <c r="D7" s="72">
        <f>D8</f>
        <v>956162</v>
      </c>
      <c r="E7" s="72">
        <f>E8</f>
        <v>519548.1</v>
      </c>
      <c r="F7" s="91">
        <f>E7/B7*100</f>
        <v>16.104154694927672</v>
      </c>
      <c r="G7" s="92">
        <f t="shared" ref="G7:G38" si="0">E7/D7</f>
        <v>0.54336827859714143</v>
      </c>
      <c r="H7" s="5"/>
    </row>
    <row r="8" spans="1:8" x14ac:dyDescent="0.2">
      <c r="A8" s="90" t="s">
        <v>4</v>
      </c>
      <c r="B8" s="74">
        <f>B9+B15+B18+B26+B21</f>
        <v>3226174.3000000003</v>
      </c>
      <c r="C8" s="74">
        <f>C9+C15+C18+C26+C21</f>
        <v>428186.91353109031</v>
      </c>
      <c r="D8" s="74">
        <f>D9+D15+D18+D26+D21+D30</f>
        <v>956162</v>
      </c>
      <c r="E8" s="74">
        <f>E9+E15+E18+E26+E21</f>
        <v>519548.1</v>
      </c>
      <c r="F8" s="93">
        <f>E8/B8*100</f>
        <v>16.104154694927672</v>
      </c>
      <c r="G8" s="92">
        <f t="shared" si="0"/>
        <v>0.54336827859714143</v>
      </c>
      <c r="H8" s="6"/>
    </row>
    <row r="9" spans="1:8" x14ac:dyDescent="0.2">
      <c r="A9" s="81" t="s">
        <v>15</v>
      </c>
      <c r="B9" s="29">
        <f>B10+B13</f>
        <v>2888993.95</v>
      </c>
      <c r="C9" s="29">
        <f>C10+C13</f>
        <v>383435.39053686376</v>
      </c>
      <c r="D9" s="29">
        <f>D10+D13</f>
        <v>818789</v>
      </c>
      <c r="E9" s="29">
        <f>E10+E13</f>
        <v>447791.1</v>
      </c>
      <c r="F9" s="94">
        <f>E9/B9*100</f>
        <v>15.499897464305867</v>
      </c>
      <c r="G9" s="92">
        <f t="shared" si="0"/>
        <v>0.54689437693960219</v>
      </c>
      <c r="H9" s="6"/>
    </row>
    <row r="10" spans="1:8" x14ac:dyDescent="0.2">
      <c r="A10" s="42" t="s">
        <v>16</v>
      </c>
      <c r="B10" s="23">
        <f>B11+B12</f>
        <v>2888993.95</v>
      </c>
      <c r="C10" s="23">
        <f>C11+C12</f>
        <v>383435.39053686376</v>
      </c>
      <c r="D10" s="23">
        <f>D11+D12</f>
        <v>818789</v>
      </c>
      <c r="E10" s="23">
        <f>E11+E12</f>
        <v>447791.1</v>
      </c>
      <c r="F10" s="95">
        <f>E10/B10*100</f>
        <v>15.499897464305867</v>
      </c>
      <c r="G10" s="92">
        <f t="shared" si="0"/>
        <v>0.54689437693960219</v>
      </c>
      <c r="H10" s="6"/>
    </row>
    <row r="11" spans="1:8" x14ac:dyDescent="0.2">
      <c r="A11" s="4" t="s">
        <v>120</v>
      </c>
      <c r="B11" s="24">
        <v>2888435.89</v>
      </c>
      <c r="C11" s="24">
        <f>2888435.89/7.5345</f>
        <v>383361.32324639987</v>
      </c>
      <c r="D11" s="24">
        <f>802626+9010+1013+3485</f>
        <v>816134</v>
      </c>
      <c r="E11" s="24">
        <v>447791.1</v>
      </c>
      <c r="F11" s="95">
        <f>E11/B11*100</f>
        <v>15.502892120621031</v>
      </c>
      <c r="G11" s="92">
        <f t="shared" si="0"/>
        <v>0.54867350214548094</v>
      </c>
      <c r="H11" s="6"/>
    </row>
    <row r="12" spans="1:8" ht="12.75" customHeight="1" x14ac:dyDescent="0.2">
      <c r="A12" s="4" t="s">
        <v>121</v>
      </c>
      <c r="B12" s="25">
        <v>558.05999999999995</v>
      </c>
      <c r="C12" s="25">
        <f>558.06/7.5345</f>
        <v>74.0672904638662</v>
      </c>
      <c r="D12" s="25">
        <f>2655</f>
        <v>2655</v>
      </c>
      <c r="E12" s="25">
        <v>0</v>
      </c>
      <c r="F12" s="95">
        <v>0</v>
      </c>
      <c r="G12" s="92">
        <f t="shared" si="0"/>
        <v>0</v>
      </c>
      <c r="H12" s="3"/>
    </row>
    <row r="13" spans="1:8" x14ac:dyDescent="0.2">
      <c r="A13" s="42" t="s">
        <v>122</v>
      </c>
      <c r="B13" s="26">
        <f>B14</f>
        <v>0</v>
      </c>
      <c r="C13" s="26">
        <f>C14</f>
        <v>0</v>
      </c>
      <c r="D13" s="26">
        <f>D14</f>
        <v>0</v>
      </c>
      <c r="E13" s="26">
        <f>E14</f>
        <v>0</v>
      </c>
      <c r="F13" s="95">
        <v>0</v>
      </c>
      <c r="G13" s="92" t="e">
        <f t="shared" si="0"/>
        <v>#DIV/0!</v>
      </c>
      <c r="H13" s="3"/>
    </row>
    <row r="14" spans="1:8" x14ac:dyDescent="0.2">
      <c r="A14" s="78" t="s">
        <v>123</v>
      </c>
      <c r="B14" s="25">
        <v>0</v>
      </c>
      <c r="C14" s="25">
        <v>0</v>
      </c>
      <c r="D14" s="25">
        <v>0</v>
      </c>
      <c r="E14" s="25">
        <v>0</v>
      </c>
      <c r="F14" s="95">
        <v>0</v>
      </c>
      <c r="G14" s="92" t="e">
        <f t="shared" si="0"/>
        <v>#DIV/0!</v>
      </c>
      <c r="H14" s="3"/>
    </row>
    <row r="15" spans="1:8" x14ac:dyDescent="0.2">
      <c r="A15" s="79" t="s">
        <v>125</v>
      </c>
      <c r="B15" s="30">
        <f>B16+B17</f>
        <v>2059.48</v>
      </c>
      <c r="C15" s="30">
        <f>C16+C17</f>
        <v>273.33996947375408</v>
      </c>
      <c r="D15" s="30">
        <f>D16+D17</f>
        <v>2</v>
      </c>
      <c r="E15" s="30">
        <f>E16+E17</f>
        <v>4.46</v>
      </c>
      <c r="F15" s="94">
        <f>E15/B15*100</f>
        <v>0.21655951987880434</v>
      </c>
      <c r="G15" s="92">
        <f t="shared" si="0"/>
        <v>2.23</v>
      </c>
      <c r="H15" s="3"/>
    </row>
    <row r="16" spans="1:8" x14ac:dyDescent="0.2">
      <c r="A16" s="78" t="s">
        <v>124</v>
      </c>
      <c r="B16" s="25">
        <v>0.5</v>
      </c>
      <c r="C16" s="25">
        <f>B16/7.5345</f>
        <v>6.6361404207313027E-2</v>
      </c>
      <c r="D16" s="25">
        <v>2</v>
      </c>
      <c r="E16" s="25">
        <v>4.46</v>
      </c>
      <c r="F16" s="95">
        <f>E16/B16*100</f>
        <v>892</v>
      </c>
      <c r="G16" s="92">
        <f t="shared" si="0"/>
        <v>2.23</v>
      </c>
      <c r="H16" s="3"/>
    </row>
    <row r="17" spans="1:8" s="27" customFormat="1" x14ac:dyDescent="0.2">
      <c r="A17" s="80" t="s">
        <v>361</v>
      </c>
      <c r="B17" s="25">
        <v>2058.98</v>
      </c>
      <c r="C17" s="25">
        <f>2058.98/7.5345</f>
        <v>273.27360806954675</v>
      </c>
      <c r="D17" s="25">
        <v>0</v>
      </c>
      <c r="E17" s="25">
        <v>0</v>
      </c>
      <c r="F17" s="95"/>
      <c r="G17" s="92" t="e">
        <f t="shared" si="0"/>
        <v>#DIV/0!</v>
      </c>
      <c r="H17" s="3"/>
    </row>
    <row r="18" spans="1:8" ht="22.5" x14ac:dyDescent="0.2">
      <c r="A18" s="81" t="s">
        <v>17</v>
      </c>
      <c r="B18" s="29">
        <f t="shared" ref="B18:E19" si="1">B19</f>
        <v>100662</v>
      </c>
      <c r="C18" s="29">
        <f t="shared" si="1"/>
        <v>13360.143340633087</v>
      </c>
      <c r="D18" s="29">
        <f t="shared" si="1"/>
        <v>27614</v>
      </c>
      <c r="E18" s="29">
        <f t="shared" si="1"/>
        <v>11196.58</v>
      </c>
      <c r="F18" s="94">
        <f>E18/B18*100</f>
        <v>11.122946096838927</v>
      </c>
      <c r="G18" s="92">
        <f t="shared" si="0"/>
        <v>0.40546751647714929</v>
      </c>
      <c r="H18" s="6"/>
    </row>
    <row r="19" spans="1:8" x14ac:dyDescent="0.2">
      <c r="A19" s="42" t="s">
        <v>18</v>
      </c>
      <c r="B19" s="23">
        <f t="shared" si="1"/>
        <v>100662</v>
      </c>
      <c r="C19" s="23">
        <f t="shared" si="1"/>
        <v>13360.143340633087</v>
      </c>
      <c r="D19" s="23">
        <f t="shared" si="1"/>
        <v>27614</v>
      </c>
      <c r="E19" s="23">
        <f t="shared" si="1"/>
        <v>11196.58</v>
      </c>
      <c r="F19" s="95">
        <f>E19/B19*100</f>
        <v>11.122946096838927</v>
      </c>
      <c r="G19" s="92">
        <f t="shared" si="0"/>
        <v>0.40546751647714929</v>
      </c>
      <c r="H19" s="6"/>
    </row>
    <row r="20" spans="1:8" x14ac:dyDescent="0.2">
      <c r="A20" s="4" t="s">
        <v>19</v>
      </c>
      <c r="B20" s="24">
        <v>100662</v>
      </c>
      <c r="C20" s="24">
        <f>100662/7.5345</f>
        <v>13360.143340633087</v>
      </c>
      <c r="D20" s="24">
        <f>15744+3000+8870</f>
        <v>27614</v>
      </c>
      <c r="E20" s="24">
        <v>11196.58</v>
      </c>
      <c r="F20" s="95">
        <f>E20/B20*100</f>
        <v>11.122946096838927</v>
      </c>
      <c r="G20" s="92">
        <f t="shared" si="0"/>
        <v>0.40546751647714929</v>
      </c>
      <c r="H20" s="6"/>
    </row>
    <row r="21" spans="1:8" x14ac:dyDescent="0.2">
      <c r="A21" s="81" t="s">
        <v>20</v>
      </c>
      <c r="B21" s="29">
        <f>B22+B23</f>
        <v>2749.48</v>
      </c>
      <c r="C21" s="29">
        <f>C22+C23</f>
        <v>364.91870727984605</v>
      </c>
      <c r="D21" s="29">
        <f>D22+D23</f>
        <v>1395</v>
      </c>
      <c r="E21" s="29">
        <f>E22+E23</f>
        <v>475.47</v>
      </c>
      <c r="F21" s="94">
        <f>E21/B21*100</f>
        <v>17.293088147576995</v>
      </c>
      <c r="G21" s="92">
        <f t="shared" si="0"/>
        <v>0.34083870967741936</v>
      </c>
      <c r="H21" s="6"/>
    </row>
    <row r="22" spans="1:8" x14ac:dyDescent="0.2">
      <c r="A22" s="42" t="s">
        <v>126</v>
      </c>
      <c r="B22" s="25">
        <v>2749.48</v>
      </c>
      <c r="C22" s="25">
        <f>2749.48/7.5345</f>
        <v>364.91870727984605</v>
      </c>
      <c r="D22" s="25">
        <f>980+200</f>
        <v>1180</v>
      </c>
      <c r="E22" s="25">
        <v>475.47</v>
      </c>
      <c r="F22" s="95">
        <f>E22/B22*100</f>
        <v>17.293088147576995</v>
      </c>
      <c r="G22" s="92">
        <f t="shared" si="0"/>
        <v>0.40294067796610172</v>
      </c>
      <c r="H22" s="3"/>
    </row>
    <row r="23" spans="1:8" x14ac:dyDescent="0.2">
      <c r="A23" s="42" t="s">
        <v>21</v>
      </c>
      <c r="B23" s="24">
        <v>0</v>
      </c>
      <c r="C23" s="24">
        <v>0</v>
      </c>
      <c r="D23" s="23">
        <f>D24+D25</f>
        <v>215</v>
      </c>
      <c r="E23" s="24">
        <v>0</v>
      </c>
      <c r="F23" s="95">
        <v>0</v>
      </c>
      <c r="G23" s="92">
        <f t="shared" si="0"/>
        <v>0</v>
      </c>
      <c r="H23" s="6"/>
    </row>
    <row r="24" spans="1:8" x14ac:dyDescent="0.2">
      <c r="A24" s="4" t="s">
        <v>22</v>
      </c>
      <c r="B24" s="24">
        <v>0</v>
      </c>
      <c r="C24" s="24">
        <v>0</v>
      </c>
      <c r="D24" s="24">
        <v>215</v>
      </c>
      <c r="E24" s="24">
        <v>0</v>
      </c>
      <c r="F24" s="95">
        <v>0</v>
      </c>
      <c r="G24" s="92">
        <f t="shared" si="0"/>
        <v>0</v>
      </c>
      <c r="H24" s="6"/>
    </row>
    <row r="25" spans="1:8" x14ac:dyDescent="0.2">
      <c r="A25" s="4" t="s">
        <v>23</v>
      </c>
      <c r="B25" s="24">
        <v>0</v>
      </c>
      <c r="C25" s="24">
        <v>0</v>
      </c>
      <c r="D25" s="24">
        <v>0</v>
      </c>
      <c r="E25" s="24">
        <v>0</v>
      </c>
      <c r="F25" s="95">
        <v>0</v>
      </c>
      <c r="G25" s="92" t="e">
        <f t="shared" si="0"/>
        <v>#DIV/0!</v>
      </c>
      <c r="H25" s="6"/>
    </row>
    <row r="26" spans="1:8" x14ac:dyDescent="0.2">
      <c r="A26" s="81" t="s">
        <v>24</v>
      </c>
      <c r="B26" s="29">
        <f>B27</f>
        <v>231709.39</v>
      </c>
      <c r="C26" s="29">
        <f>C27</f>
        <v>30753.120976839869</v>
      </c>
      <c r="D26" s="29">
        <f>D27</f>
        <v>99769</v>
      </c>
      <c r="E26" s="29">
        <f>E27</f>
        <v>60080.49</v>
      </c>
      <c r="F26" s="94">
        <f t="shared" ref="F26:F57" si="2">E26/B26*100</f>
        <v>25.929242660385921</v>
      </c>
      <c r="G26" s="92">
        <f t="shared" si="0"/>
        <v>0.60219597269692993</v>
      </c>
      <c r="H26" s="6"/>
    </row>
    <row r="27" spans="1:8" ht="22.5" x14ac:dyDescent="0.2">
      <c r="A27" s="42" t="s">
        <v>25</v>
      </c>
      <c r="B27" s="23">
        <f>B28+B29</f>
        <v>231709.39</v>
      </c>
      <c r="C27" s="23">
        <f>C28+C29</f>
        <v>30753.120976839869</v>
      </c>
      <c r="D27" s="23">
        <f>D28+D29</f>
        <v>99769</v>
      </c>
      <c r="E27" s="23">
        <f>E28+E29</f>
        <v>60080.49</v>
      </c>
      <c r="F27" s="95">
        <f t="shared" si="2"/>
        <v>25.929242660385921</v>
      </c>
      <c r="G27" s="92">
        <f t="shared" si="0"/>
        <v>0.60219597269692993</v>
      </c>
      <c r="H27" s="6"/>
    </row>
    <row r="28" spans="1:8" x14ac:dyDescent="0.2">
      <c r="A28" s="4" t="s">
        <v>26</v>
      </c>
      <c r="B28" s="24">
        <v>219331.39</v>
      </c>
      <c r="C28" s="24">
        <f>219331.39/7.5345</f>
        <v>29110.27805428363</v>
      </c>
      <c r="D28" s="24">
        <f>725+44116+21910+12300+3318+6900</f>
        <v>89269</v>
      </c>
      <c r="E28" s="24">
        <v>50632.99</v>
      </c>
      <c r="F28" s="95">
        <f t="shared" si="2"/>
        <v>23.085154386702239</v>
      </c>
      <c r="G28" s="92">
        <f t="shared" si="0"/>
        <v>0.56719566702886781</v>
      </c>
      <c r="H28" s="6"/>
    </row>
    <row r="29" spans="1:8" x14ac:dyDescent="0.2">
      <c r="A29" s="4" t="s">
        <v>27</v>
      </c>
      <c r="B29" s="24">
        <v>12378</v>
      </c>
      <c r="C29" s="24">
        <f>12378/7.5345</f>
        <v>1642.8429225562411</v>
      </c>
      <c r="D29" s="24">
        <v>10500</v>
      </c>
      <c r="E29" s="24">
        <v>9447.5</v>
      </c>
      <c r="F29" s="95">
        <f t="shared" si="2"/>
        <v>76.32493132977865</v>
      </c>
      <c r="G29" s="92">
        <f t="shared" si="0"/>
        <v>0.89976190476190476</v>
      </c>
      <c r="H29" s="6"/>
    </row>
    <row r="30" spans="1:8" x14ac:dyDescent="0.2">
      <c r="A30" s="82" t="s">
        <v>281</v>
      </c>
      <c r="B30" s="31">
        <v>181528.15</v>
      </c>
      <c r="C30" s="31">
        <f>181528.15/7.5345</f>
        <v>24092.925874311499</v>
      </c>
      <c r="D30" s="32">
        <v>8593</v>
      </c>
      <c r="E30" s="32">
        <v>24257.84</v>
      </c>
      <c r="F30" s="94">
        <f t="shared" si="2"/>
        <v>13.363128528550531</v>
      </c>
      <c r="G30" s="92">
        <f t="shared" si="0"/>
        <v>2.8229768416152683</v>
      </c>
      <c r="H30" s="6"/>
    </row>
    <row r="31" spans="1:8" x14ac:dyDescent="0.2">
      <c r="A31" s="86" t="s">
        <v>115</v>
      </c>
      <c r="B31" s="75">
        <f>B32+B76</f>
        <v>3229035.69</v>
      </c>
      <c r="C31" s="75">
        <f>C32+C76</f>
        <v>428566.6852478598</v>
      </c>
      <c r="D31" s="75">
        <f>D32+D76</f>
        <v>956162.15</v>
      </c>
      <c r="E31" s="75">
        <f>E32+E76</f>
        <v>516235.02999999997</v>
      </c>
      <c r="F31" s="96">
        <f t="shared" si="2"/>
        <v>15.987281639491572</v>
      </c>
      <c r="G31" s="97">
        <f t="shared" si="0"/>
        <v>0.53990322666505886</v>
      </c>
      <c r="H31" s="5"/>
    </row>
    <row r="32" spans="1:8" x14ac:dyDescent="0.2">
      <c r="A32" s="83" t="s">
        <v>7</v>
      </c>
      <c r="B32" s="74">
        <f>B33+B41+B70+B74+B75</f>
        <v>3229035.69</v>
      </c>
      <c r="C32" s="74">
        <f>C33+C41+C70+C74+C75</f>
        <v>428566.6852478598</v>
      </c>
      <c r="D32" s="74">
        <f>D33+D41+D70+D74</f>
        <v>933562.15</v>
      </c>
      <c r="E32" s="74">
        <f>E33+E41+E70+E74+E75</f>
        <v>504704.98</v>
      </c>
      <c r="F32" s="93">
        <f t="shared" si="2"/>
        <v>15.630207543478717</v>
      </c>
      <c r="G32" s="92">
        <f t="shared" si="0"/>
        <v>0.54062279624339948</v>
      </c>
      <c r="H32" s="6"/>
    </row>
    <row r="33" spans="1:8" x14ac:dyDescent="0.2">
      <c r="A33" s="81" t="s">
        <v>28</v>
      </c>
      <c r="B33" s="29">
        <f>B34+B36+B38</f>
        <v>2729004.5</v>
      </c>
      <c r="C33" s="29">
        <f>C34+C36+C38</f>
        <v>362201.14141615236</v>
      </c>
      <c r="D33" s="29">
        <f>D34+D36+D38</f>
        <v>730671</v>
      </c>
      <c r="E33" s="29">
        <f>E34+E36+E38</f>
        <v>411532.08999999997</v>
      </c>
      <c r="F33" s="94">
        <f>E33/D33*100</f>
        <v>56.322488507139326</v>
      </c>
      <c r="G33" s="92">
        <f t="shared" si="0"/>
        <v>0.56322488507139323</v>
      </c>
      <c r="H33" s="6"/>
    </row>
    <row r="34" spans="1:8" x14ac:dyDescent="0.2">
      <c r="A34" s="42" t="s">
        <v>29</v>
      </c>
      <c r="B34" s="23">
        <f>B35</f>
        <v>2255757.7000000002</v>
      </c>
      <c r="C34" s="23">
        <f>C35</f>
        <v>299390.4970469175</v>
      </c>
      <c r="D34" s="23">
        <f>D35</f>
        <v>600045</v>
      </c>
      <c r="E34" s="23">
        <f>E35</f>
        <v>340516.76</v>
      </c>
      <c r="F34" s="94">
        <f t="shared" ref="F34:F83" si="3">E34/D34*100</f>
        <v>56.748537193043859</v>
      </c>
      <c r="G34" s="92">
        <f t="shared" si="0"/>
        <v>0.56748537193043858</v>
      </c>
      <c r="H34" s="6"/>
    </row>
    <row r="35" spans="1:8" x14ac:dyDescent="0.2">
      <c r="A35" s="4" t="s">
        <v>30</v>
      </c>
      <c r="B35" s="24">
        <v>2255757.7000000002</v>
      </c>
      <c r="C35" s="24">
        <f>B35/7.5345</f>
        <v>299390.4970469175</v>
      </c>
      <c r="D35" s="24">
        <f>570710+10000+1380+2655+15300</f>
        <v>600045</v>
      </c>
      <c r="E35" s="24">
        <v>340516.76</v>
      </c>
      <c r="F35" s="94">
        <f t="shared" si="3"/>
        <v>56.748537193043859</v>
      </c>
      <c r="G35" s="92">
        <f t="shared" si="0"/>
        <v>0.56748537193043858</v>
      </c>
      <c r="H35" s="6"/>
    </row>
    <row r="36" spans="1:8" x14ac:dyDescent="0.2">
      <c r="A36" s="42" t="s">
        <v>31</v>
      </c>
      <c r="B36" s="23">
        <f>B37</f>
        <v>98341.98</v>
      </c>
      <c r="C36" s="23">
        <f>C37</f>
        <v>13052.223770654986</v>
      </c>
      <c r="D36" s="23">
        <f>D37</f>
        <v>29215</v>
      </c>
      <c r="E36" s="23">
        <f>E37</f>
        <v>14507.17</v>
      </c>
      <c r="F36" s="94">
        <f t="shared" si="3"/>
        <v>49.656580523703575</v>
      </c>
      <c r="G36" s="92">
        <f t="shared" si="0"/>
        <v>0.49656580523703575</v>
      </c>
      <c r="H36" s="6"/>
    </row>
    <row r="37" spans="1:8" x14ac:dyDescent="0.2">
      <c r="A37" s="4" t="s">
        <v>32</v>
      </c>
      <c r="B37" s="24">
        <v>98341.98</v>
      </c>
      <c r="C37" s="24">
        <f>B37/7.5345</f>
        <v>13052.223770654986</v>
      </c>
      <c r="D37" s="24">
        <f>26545+305+40+95+2230</f>
        <v>29215</v>
      </c>
      <c r="E37" s="24">
        <v>14507.17</v>
      </c>
      <c r="F37" s="94">
        <f t="shared" si="3"/>
        <v>49.656580523703575</v>
      </c>
      <c r="G37" s="92">
        <f t="shared" si="0"/>
        <v>0.49656580523703575</v>
      </c>
      <c r="H37" s="6"/>
    </row>
    <row r="38" spans="1:8" x14ac:dyDescent="0.2">
      <c r="A38" s="42" t="s">
        <v>33</v>
      </c>
      <c r="B38" s="23">
        <f>B39+B40</f>
        <v>374904.81999999995</v>
      </c>
      <c r="C38" s="23">
        <f>C39+C40</f>
        <v>49758.420598579862</v>
      </c>
      <c r="D38" s="23">
        <f>D39+D40</f>
        <v>101411</v>
      </c>
      <c r="E38" s="23">
        <f>E39+E40</f>
        <v>56508.159999999996</v>
      </c>
      <c r="F38" s="94">
        <f t="shared" si="3"/>
        <v>55.721923657196946</v>
      </c>
      <c r="G38" s="92">
        <f t="shared" si="0"/>
        <v>0.55721923657196948</v>
      </c>
      <c r="H38" s="6"/>
    </row>
    <row r="39" spans="1:8" x14ac:dyDescent="0.2">
      <c r="A39" s="4" t="s">
        <v>34</v>
      </c>
      <c r="B39" s="24">
        <v>374822.85</v>
      </c>
      <c r="C39" s="24">
        <f>B39/7.5345</f>
        <v>49747.541309974113</v>
      </c>
      <c r="D39" s="24">
        <f>95600+1600+225+600+3320</f>
        <v>101345</v>
      </c>
      <c r="E39" s="24">
        <v>56504.77</v>
      </c>
      <c r="F39" s="94">
        <f t="shared" si="3"/>
        <v>55.754867038334396</v>
      </c>
      <c r="G39" s="92">
        <f t="shared" ref="G39:G70" si="4">E39/D39</f>
        <v>0.55754867038334399</v>
      </c>
      <c r="H39" s="6"/>
    </row>
    <row r="40" spans="1:8" s="27" customFormat="1" x14ac:dyDescent="0.2">
      <c r="A40" s="4" t="s">
        <v>360</v>
      </c>
      <c r="B40" s="24">
        <v>81.97</v>
      </c>
      <c r="C40" s="24">
        <f>B40/7.5345</f>
        <v>10.879288605746897</v>
      </c>
      <c r="D40" s="24">
        <v>66</v>
      </c>
      <c r="E40" s="24">
        <v>3.39</v>
      </c>
      <c r="F40" s="94">
        <f t="shared" si="3"/>
        <v>5.1363636363636367</v>
      </c>
      <c r="G40" s="92">
        <f t="shared" si="4"/>
        <v>5.1363636363636368E-2</v>
      </c>
      <c r="H40" s="6"/>
    </row>
    <row r="41" spans="1:8" x14ac:dyDescent="0.2">
      <c r="A41" s="81" t="s">
        <v>35</v>
      </c>
      <c r="B41" s="29">
        <f>B42+B47+B54+B63+B65</f>
        <v>486864.73</v>
      </c>
      <c r="C41" s="29">
        <f>C42+C47+C54+C63+C65</f>
        <v>64618.05428362864</v>
      </c>
      <c r="D41" s="29">
        <f>D42+D47+D54+D63+D65</f>
        <v>192074.15</v>
      </c>
      <c r="E41" s="29">
        <f>E42+E47+E54+E63+E65</f>
        <v>91856.46</v>
      </c>
      <c r="F41" s="94">
        <f t="shared" si="3"/>
        <v>47.823436938286598</v>
      </c>
      <c r="G41" s="92">
        <f t="shared" si="4"/>
        <v>0.47823436938286601</v>
      </c>
      <c r="H41" s="6"/>
    </row>
    <row r="42" spans="1:8" x14ac:dyDescent="0.2">
      <c r="A42" s="42" t="s">
        <v>36</v>
      </c>
      <c r="B42" s="23">
        <f>B43+B44+B45+B46</f>
        <v>144730.18</v>
      </c>
      <c r="C42" s="23">
        <f>C43+C44+C45+C46</f>
        <v>19208.995951954341</v>
      </c>
      <c r="D42" s="23">
        <f>D43+D44+D45+D46</f>
        <v>44920.15</v>
      </c>
      <c r="E42" s="23">
        <f>E43+E44+E45+E46</f>
        <v>27937.51</v>
      </c>
      <c r="F42" s="94">
        <f t="shared" si="3"/>
        <v>62.193714847345781</v>
      </c>
      <c r="G42" s="92">
        <f t="shared" si="4"/>
        <v>0.62193714847345782</v>
      </c>
      <c r="H42" s="6"/>
    </row>
    <row r="43" spans="1:8" x14ac:dyDescent="0.2">
      <c r="A43" s="4" t="s">
        <v>37</v>
      </c>
      <c r="B43" s="24">
        <v>17668.79</v>
      </c>
      <c r="C43" s="24">
        <f>B43/7.5345</f>
        <v>2345.0514300882605</v>
      </c>
      <c r="D43" s="24">
        <f>345.15+3055+200+265+665+215</f>
        <v>4745.1499999999996</v>
      </c>
      <c r="E43" s="24">
        <v>3630.85</v>
      </c>
      <c r="F43" s="94">
        <f t="shared" si="3"/>
        <v>76.517075329547012</v>
      </c>
      <c r="G43" s="92">
        <f t="shared" si="4"/>
        <v>0.76517075329547013</v>
      </c>
      <c r="H43" s="6"/>
    </row>
    <row r="44" spans="1:8" x14ac:dyDescent="0.2">
      <c r="A44" s="4" t="s">
        <v>38</v>
      </c>
      <c r="B44" s="24">
        <v>125959.39</v>
      </c>
      <c r="C44" s="24">
        <f>B44/7.5345</f>
        <v>16717.683986993165</v>
      </c>
      <c r="D44" s="24">
        <f>38000+395+55+135+1060</f>
        <v>39645</v>
      </c>
      <c r="E44" s="24">
        <v>24199.56</v>
      </c>
      <c r="F44" s="94">
        <f t="shared" si="3"/>
        <v>61.04063564131669</v>
      </c>
      <c r="G44" s="92">
        <f t="shared" si="4"/>
        <v>0.61040635641316687</v>
      </c>
      <c r="H44" s="6"/>
    </row>
    <row r="45" spans="1:8" x14ac:dyDescent="0.2">
      <c r="A45" s="4" t="s">
        <v>39</v>
      </c>
      <c r="B45" s="24">
        <v>650</v>
      </c>
      <c r="C45" s="24">
        <f>B45/7.5345</f>
        <v>86.269825469506927</v>
      </c>
      <c r="D45" s="24">
        <f>130+400</f>
        <v>530</v>
      </c>
      <c r="E45" s="24">
        <v>85.5</v>
      </c>
      <c r="F45" s="94">
        <f t="shared" si="3"/>
        <v>16.132075471698112</v>
      </c>
      <c r="G45" s="92">
        <f t="shared" si="4"/>
        <v>0.16132075471698112</v>
      </c>
      <c r="H45" s="6"/>
    </row>
    <row r="46" spans="1:8" s="27" customFormat="1" x14ac:dyDescent="0.2">
      <c r="A46" s="4" t="s">
        <v>362</v>
      </c>
      <c r="B46" s="24">
        <v>452</v>
      </c>
      <c r="C46" s="24">
        <f>B46/7.5345</f>
        <v>59.990709403410975</v>
      </c>
      <c r="D46" s="24">
        <v>0</v>
      </c>
      <c r="E46" s="24">
        <v>21.6</v>
      </c>
      <c r="F46" s="94" t="e">
        <f t="shared" si="3"/>
        <v>#DIV/0!</v>
      </c>
      <c r="G46" s="92" t="e">
        <f t="shared" si="4"/>
        <v>#DIV/0!</v>
      </c>
      <c r="H46" s="6"/>
    </row>
    <row r="47" spans="1:8" x14ac:dyDescent="0.2">
      <c r="A47" s="42" t="s">
        <v>40</v>
      </c>
      <c r="B47" s="23">
        <f>B48+B49+B50+B51+B52+B53</f>
        <v>186440.56000000003</v>
      </c>
      <c r="C47" s="23">
        <f>C48+C49+C50+C51+C52+C53</f>
        <v>24744.914725595594</v>
      </c>
      <c r="D47" s="23">
        <f>D48+D49+D50+D51+D52+D53</f>
        <v>111379</v>
      </c>
      <c r="E47" s="23">
        <f>E48+E49+E50+E51+E52+E53</f>
        <v>46301.62000000001</v>
      </c>
      <c r="F47" s="94">
        <f t="shared" si="3"/>
        <v>41.571229765036506</v>
      </c>
      <c r="G47" s="92">
        <f t="shared" si="4"/>
        <v>0.41571229765036505</v>
      </c>
      <c r="H47" s="6"/>
    </row>
    <row r="48" spans="1:8" x14ac:dyDescent="0.2">
      <c r="A48" s="4" t="s">
        <v>41</v>
      </c>
      <c r="B48" s="24">
        <v>12648.01</v>
      </c>
      <c r="C48" s="24">
        <f t="shared" ref="C48:C53" si="5">B48/7.5345</f>
        <v>1678.6794080562745</v>
      </c>
      <c r="D48" s="24">
        <f>1500+3450+400+200+50+800</f>
        <v>6400</v>
      </c>
      <c r="E48" s="24">
        <v>3329.6</v>
      </c>
      <c r="F48" s="94">
        <f t="shared" si="3"/>
        <v>52.024999999999999</v>
      </c>
      <c r="G48" s="92">
        <f t="shared" si="4"/>
        <v>0.52024999999999999</v>
      </c>
      <c r="H48" s="6"/>
    </row>
    <row r="49" spans="1:8" x14ac:dyDescent="0.2">
      <c r="A49" s="4" t="s">
        <v>42</v>
      </c>
      <c r="B49" s="24">
        <v>111358.8</v>
      </c>
      <c r="C49" s="24">
        <f t="shared" si="5"/>
        <v>14779.85267768266</v>
      </c>
      <c r="D49" s="24">
        <f>7000+3318+59100+6900+1013+6370</f>
        <v>83701</v>
      </c>
      <c r="E49" s="24">
        <v>31281.62</v>
      </c>
      <c r="F49" s="94">
        <f t="shared" si="3"/>
        <v>37.373054085375323</v>
      </c>
      <c r="G49" s="92">
        <f t="shared" si="4"/>
        <v>0.37373054085375323</v>
      </c>
      <c r="H49" s="6"/>
    </row>
    <row r="50" spans="1:8" x14ac:dyDescent="0.2">
      <c r="A50" s="4" t="s">
        <v>43</v>
      </c>
      <c r="B50" s="24">
        <v>52586.45</v>
      </c>
      <c r="C50" s="24">
        <f t="shared" si="5"/>
        <v>6979.4213285553114</v>
      </c>
      <c r="D50" s="24">
        <f>12410</f>
        <v>12410</v>
      </c>
      <c r="E50" s="24">
        <v>7144.02</v>
      </c>
      <c r="F50" s="94">
        <f t="shared" si="3"/>
        <v>57.566639806607576</v>
      </c>
      <c r="G50" s="92">
        <f t="shared" si="4"/>
        <v>0.57566639806607578</v>
      </c>
      <c r="H50" s="6"/>
    </row>
    <row r="51" spans="1:8" x14ac:dyDescent="0.2">
      <c r="A51" s="4" t="s">
        <v>44</v>
      </c>
      <c r="B51" s="24">
        <v>3958.38</v>
      </c>
      <c r="C51" s="24">
        <f t="shared" si="5"/>
        <v>525.36731037228742</v>
      </c>
      <c r="D51" s="24">
        <f>1590+665+2214</f>
        <v>4469</v>
      </c>
      <c r="E51" s="24">
        <v>3204.26</v>
      </c>
      <c r="F51" s="94">
        <f t="shared" si="3"/>
        <v>71.699709107182812</v>
      </c>
      <c r="G51" s="92">
        <f t="shared" si="4"/>
        <v>0.71699709107182819</v>
      </c>
      <c r="H51" s="6"/>
    </row>
    <row r="52" spans="1:8" x14ac:dyDescent="0.2">
      <c r="A52" s="4" t="s">
        <v>45</v>
      </c>
      <c r="B52" s="24">
        <v>5888.92</v>
      </c>
      <c r="C52" s="24">
        <f t="shared" si="5"/>
        <v>781.59400092905958</v>
      </c>
      <c r="D52" s="24">
        <f>1330+1460+665+745</f>
        <v>4200</v>
      </c>
      <c r="E52" s="24">
        <v>1342.12</v>
      </c>
      <c r="F52" s="94">
        <f t="shared" si="3"/>
        <v>31.955238095238091</v>
      </c>
      <c r="G52" s="92">
        <f t="shared" si="4"/>
        <v>0.31955238095238092</v>
      </c>
      <c r="H52" s="6"/>
    </row>
    <row r="53" spans="1:8" x14ac:dyDescent="0.2">
      <c r="A53" s="4" t="s">
        <v>46</v>
      </c>
      <c r="B53" s="24">
        <v>0</v>
      </c>
      <c r="C53" s="24">
        <f t="shared" si="5"/>
        <v>0</v>
      </c>
      <c r="D53" s="24">
        <v>199</v>
      </c>
      <c r="E53" s="24">
        <v>0</v>
      </c>
      <c r="F53" s="94">
        <f t="shared" si="3"/>
        <v>0</v>
      </c>
      <c r="G53" s="92">
        <f t="shared" si="4"/>
        <v>0</v>
      </c>
      <c r="H53" s="6"/>
    </row>
    <row r="54" spans="1:8" x14ac:dyDescent="0.2">
      <c r="A54" s="42" t="s">
        <v>47</v>
      </c>
      <c r="B54" s="23">
        <f>B55+B56+B57+B58+B59+B61+B62+B60</f>
        <v>113032.43</v>
      </c>
      <c r="C54" s="23">
        <f>C55+C56+C57+C58+C59+C61+C62+C60</f>
        <v>15001.981551529629</v>
      </c>
      <c r="D54" s="23">
        <f>D55+D56+D57+D58+D59+D61+D62+D60</f>
        <v>24035</v>
      </c>
      <c r="E54" s="23">
        <f>E55+E56+E57+E58+E59+E61+E62+E60</f>
        <v>12546.38</v>
      </c>
      <c r="F54" s="94">
        <f t="shared" si="3"/>
        <v>52.20045766590389</v>
      </c>
      <c r="G54" s="92">
        <f t="shared" si="4"/>
        <v>0.52200457665903888</v>
      </c>
      <c r="H54" s="6"/>
    </row>
    <row r="55" spans="1:8" x14ac:dyDescent="0.2">
      <c r="A55" s="4" t="s">
        <v>48</v>
      </c>
      <c r="B55" s="24">
        <v>43927.85</v>
      </c>
      <c r="C55" s="24">
        <f>B55/7.5345</f>
        <v>5830.2276196164303</v>
      </c>
      <c r="D55" s="24">
        <f>3050+2985</f>
        <v>6035</v>
      </c>
      <c r="E55" s="24">
        <v>3877.47</v>
      </c>
      <c r="F55" s="94">
        <f t="shared" si="3"/>
        <v>64.249710024855005</v>
      </c>
      <c r="G55" s="92">
        <f t="shared" si="4"/>
        <v>0.64249710024855011</v>
      </c>
      <c r="H55" s="6"/>
    </row>
    <row r="56" spans="1:8" x14ac:dyDescent="0.2">
      <c r="A56" s="4" t="s">
        <v>49</v>
      </c>
      <c r="B56" s="24">
        <v>6948.75</v>
      </c>
      <c r="C56" s="24">
        <f t="shared" ref="C56:C62" si="6">B56/7.5345</f>
        <v>922.25761497113274</v>
      </c>
      <c r="D56" s="24">
        <f>1060+1000</f>
        <v>2060</v>
      </c>
      <c r="E56" s="24">
        <v>1060</v>
      </c>
      <c r="F56" s="94">
        <f t="shared" si="3"/>
        <v>51.456310679611647</v>
      </c>
      <c r="G56" s="92">
        <f t="shared" si="4"/>
        <v>0.5145631067961165</v>
      </c>
      <c r="H56" s="6"/>
    </row>
    <row r="57" spans="1:8" x14ac:dyDescent="0.2">
      <c r="A57" s="4" t="s">
        <v>50</v>
      </c>
      <c r="B57" s="24">
        <v>21918.01</v>
      </c>
      <c r="C57" s="24">
        <f t="shared" si="6"/>
        <v>2909.0198420598576</v>
      </c>
      <c r="D57" s="24">
        <f>6370</f>
        <v>6370</v>
      </c>
      <c r="E57" s="24">
        <v>4051.25</v>
      </c>
      <c r="F57" s="94">
        <f t="shared" si="3"/>
        <v>63.598901098901095</v>
      </c>
      <c r="G57" s="92">
        <f t="shared" si="4"/>
        <v>0.63598901098901095</v>
      </c>
      <c r="H57" s="6"/>
    </row>
    <row r="58" spans="1:8" x14ac:dyDescent="0.2">
      <c r="A58" s="4" t="s">
        <v>458</v>
      </c>
      <c r="B58" s="24">
        <v>447</v>
      </c>
      <c r="C58" s="24">
        <f t="shared" si="6"/>
        <v>59.32709536133784</v>
      </c>
      <c r="D58" s="24">
        <v>0</v>
      </c>
      <c r="E58" s="24">
        <v>0</v>
      </c>
      <c r="F58" s="94" t="e">
        <f t="shared" si="3"/>
        <v>#DIV/0!</v>
      </c>
      <c r="G58" s="92" t="e">
        <f t="shared" si="4"/>
        <v>#DIV/0!</v>
      </c>
      <c r="H58" s="6"/>
    </row>
    <row r="59" spans="1:8" x14ac:dyDescent="0.2">
      <c r="A59" s="4" t="s">
        <v>51</v>
      </c>
      <c r="B59" s="24">
        <v>0</v>
      </c>
      <c r="C59" s="24">
        <f t="shared" si="6"/>
        <v>0</v>
      </c>
      <c r="D59" s="24">
        <v>2810</v>
      </c>
      <c r="E59" s="24">
        <v>0</v>
      </c>
      <c r="F59" s="94">
        <f t="shared" si="3"/>
        <v>0</v>
      </c>
      <c r="G59" s="92">
        <f t="shared" si="4"/>
        <v>0</v>
      </c>
      <c r="H59" s="6"/>
    </row>
    <row r="60" spans="1:8" x14ac:dyDescent="0.2">
      <c r="A60" s="4" t="s">
        <v>134</v>
      </c>
      <c r="B60" s="24">
        <v>2816.5</v>
      </c>
      <c r="C60" s="24">
        <f t="shared" si="6"/>
        <v>373.81378989979424</v>
      </c>
      <c r="D60" s="24">
        <v>130</v>
      </c>
      <c r="E60" s="24">
        <v>0</v>
      </c>
      <c r="F60" s="94">
        <f t="shared" si="3"/>
        <v>0</v>
      </c>
      <c r="G60" s="92">
        <f t="shared" si="4"/>
        <v>0</v>
      </c>
      <c r="H60" s="6"/>
    </row>
    <row r="61" spans="1:8" x14ac:dyDescent="0.2">
      <c r="A61" s="4" t="s">
        <v>133</v>
      </c>
      <c r="B61" s="24">
        <v>13731.22</v>
      </c>
      <c r="C61" s="24">
        <f t="shared" si="6"/>
        <v>1822.4460813590813</v>
      </c>
      <c r="D61" s="24">
        <v>3980</v>
      </c>
      <c r="E61" s="24">
        <v>1948.08</v>
      </c>
      <c r="F61" s="94">
        <f t="shared" si="3"/>
        <v>48.946733668341707</v>
      </c>
      <c r="G61" s="92">
        <f t="shared" si="4"/>
        <v>0.48946733668341708</v>
      </c>
      <c r="H61" s="6"/>
    </row>
    <row r="62" spans="1:8" x14ac:dyDescent="0.2">
      <c r="A62" s="4" t="s">
        <v>52</v>
      </c>
      <c r="B62" s="24">
        <v>23243.1</v>
      </c>
      <c r="C62" s="24">
        <f t="shared" si="6"/>
        <v>3084.8895082619943</v>
      </c>
      <c r="D62" s="24">
        <f>1990+660</f>
        <v>2650</v>
      </c>
      <c r="E62" s="24">
        <v>1609.58</v>
      </c>
      <c r="F62" s="94">
        <f t="shared" si="3"/>
        <v>60.738867924528293</v>
      </c>
      <c r="G62" s="92">
        <f t="shared" si="4"/>
        <v>0.60738867924528295</v>
      </c>
      <c r="H62" s="6"/>
    </row>
    <row r="63" spans="1:8" x14ac:dyDescent="0.2">
      <c r="A63" s="42" t="s">
        <v>53</v>
      </c>
      <c r="B63" s="23">
        <v>0</v>
      </c>
      <c r="C63" s="23">
        <v>0</v>
      </c>
      <c r="D63" s="23">
        <v>0</v>
      </c>
      <c r="E63" s="23">
        <v>0</v>
      </c>
      <c r="F63" s="94" t="e">
        <f t="shared" si="3"/>
        <v>#DIV/0!</v>
      </c>
      <c r="G63" s="92" t="e">
        <f t="shared" si="4"/>
        <v>#DIV/0!</v>
      </c>
      <c r="H63" s="6"/>
    </row>
    <row r="64" spans="1:8" x14ac:dyDescent="0.2">
      <c r="A64" s="4" t="s">
        <v>54</v>
      </c>
      <c r="B64" s="24">
        <v>0</v>
      </c>
      <c r="C64" s="24">
        <v>0</v>
      </c>
      <c r="D64" s="24">
        <v>0</v>
      </c>
      <c r="E64" s="24">
        <v>0</v>
      </c>
      <c r="F64" s="94" t="e">
        <f t="shared" si="3"/>
        <v>#DIV/0!</v>
      </c>
      <c r="G64" s="92" t="e">
        <f t="shared" si="4"/>
        <v>#DIV/0!</v>
      </c>
      <c r="H64" s="6"/>
    </row>
    <row r="65" spans="1:8" x14ac:dyDescent="0.2">
      <c r="A65" s="42" t="s">
        <v>55</v>
      </c>
      <c r="B65" s="23">
        <f>B66+B67+B68+B69</f>
        <v>42661.56</v>
      </c>
      <c r="C65" s="23">
        <f>C66+C67+C68+C69</f>
        <v>5662.1620545490741</v>
      </c>
      <c r="D65" s="23">
        <f>D66+D67+D68+D69</f>
        <v>11740</v>
      </c>
      <c r="E65" s="23">
        <f>E66+E67+E68+E69</f>
        <v>5070.95</v>
      </c>
      <c r="F65" s="94">
        <f t="shared" si="3"/>
        <v>43.19378194207836</v>
      </c>
      <c r="G65" s="92">
        <f t="shared" si="4"/>
        <v>0.43193781942078363</v>
      </c>
      <c r="H65" s="6"/>
    </row>
    <row r="66" spans="1:8" x14ac:dyDescent="0.2">
      <c r="A66" s="4" t="s">
        <v>127</v>
      </c>
      <c r="B66" s="24">
        <v>0</v>
      </c>
      <c r="C66" s="24">
        <v>0</v>
      </c>
      <c r="D66" s="24">
        <v>133</v>
      </c>
      <c r="E66" s="24">
        <v>0</v>
      </c>
      <c r="F66" s="94">
        <f t="shared" si="3"/>
        <v>0</v>
      </c>
      <c r="G66" s="92">
        <f t="shared" si="4"/>
        <v>0</v>
      </c>
      <c r="H66" s="6"/>
    </row>
    <row r="67" spans="1:8" x14ac:dyDescent="0.2">
      <c r="A67" s="4" t="s">
        <v>56</v>
      </c>
      <c r="B67" s="24">
        <v>4687.5</v>
      </c>
      <c r="C67" s="24">
        <f>B67/7.5345</f>
        <v>622.13816444355962</v>
      </c>
      <c r="D67" s="24">
        <v>1300</v>
      </c>
      <c r="E67" s="24">
        <v>824.43</v>
      </c>
      <c r="F67" s="94">
        <f t="shared" si="3"/>
        <v>63.417692307692306</v>
      </c>
      <c r="G67" s="92">
        <f t="shared" si="4"/>
        <v>0.63417692307692308</v>
      </c>
      <c r="H67" s="6"/>
    </row>
    <row r="68" spans="1:8" x14ac:dyDescent="0.2">
      <c r="A68" s="4" t="s">
        <v>128</v>
      </c>
      <c r="B68" s="24">
        <v>9312.5</v>
      </c>
      <c r="C68" s="24">
        <f>B68/7.5345</f>
        <v>1235.9811533612051</v>
      </c>
      <c r="D68" s="24">
        <v>665</v>
      </c>
      <c r="E68" s="24">
        <v>559.91</v>
      </c>
      <c r="F68" s="94">
        <f t="shared" si="3"/>
        <v>84.196992481202997</v>
      </c>
      <c r="G68" s="92">
        <f t="shared" si="4"/>
        <v>0.84196992481203003</v>
      </c>
      <c r="H68" s="6"/>
    </row>
    <row r="69" spans="1:8" x14ac:dyDescent="0.2">
      <c r="A69" s="4" t="s">
        <v>57</v>
      </c>
      <c r="B69" s="24">
        <v>28661.56</v>
      </c>
      <c r="C69" s="24">
        <f>B69/7.5345</f>
        <v>3804.0427367443094</v>
      </c>
      <c r="D69" s="24">
        <f>380+1062+600+700+600+3300+3000</f>
        <v>9642</v>
      </c>
      <c r="E69" s="24">
        <v>3686.61</v>
      </c>
      <c r="F69" s="94">
        <f t="shared" si="3"/>
        <v>38.234909769757316</v>
      </c>
      <c r="G69" s="92">
        <f t="shared" si="4"/>
        <v>0.38234909769757314</v>
      </c>
      <c r="H69" s="6"/>
    </row>
    <row r="70" spans="1:8" x14ac:dyDescent="0.2">
      <c r="A70" s="81" t="s">
        <v>58</v>
      </c>
      <c r="B70" s="29">
        <f>B71</f>
        <v>11107.48</v>
      </c>
      <c r="C70" s="29">
        <f>C71</f>
        <v>1474.2159400092905</v>
      </c>
      <c r="D70" s="29">
        <f>D71</f>
        <v>1517</v>
      </c>
      <c r="E70" s="29">
        <f>E71</f>
        <v>767</v>
      </c>
      <c r="F70" s="94">
        <f t="shared" si="3"/>
        <v>50.560316413974945</v>
      </c>
      <c r="G70" s="92">
        <f t="shared" si="4"/>
        <v>0.50560316413974948</v>
      </c>
      <c r="H70" s="6"/>
    </row>
    <row r="71" spans="1:8" x14ac:dyDescent="0.2">
      <c r="A71" s="42" t="s">
        <v>59</v>
      </c>
      <c r="B71" s="23">
        <f>B72+B73</f>
        <v>11107.48</v>
      </c>
      <c r="C71" s="23">
        <f>C72+C73</f>
        <v>1474.2159400092905</v>
      </c>
      <c r="D71" s="23">
        <f>D72+D73</f>
        <v>1517</v>
      </c>
      <c r="E71" s="23">
        <f>E72+E73</f>
        <v>767</v>
      </c>
      <c r="F71" s="94">
        <f t="shared" si="3"/>
        <v>50.560316413974945</v>
      </c>
      <c r="G71" s="92">
        <f t="shared" ref="G71:G79" si="7">E71/D71</f>
        <v>0.50560316413974948</v>
      </c>
      <c r="H71" s="6"/>
    </row>
    <row r="72" spans="1:8" x14ac:dyDescent="0.2">
      <c r="A72" s="4" t="s">
        <v>129</v>
      </c>
      <c r="B72" s="24">
        <v>5086.8</v>
      </c>
      <c r="C72" s="24">
        <f>B72/7.5345</f>
        <v>675.1343818435198</v>
      </c>
      <c r="D72" s="24">
        <v>1367</v>
      </c>
      <c r="E72" s="24">
        <v>469.65</v>
      </c>
      <c r="F72" s="94">
        <f t="shared" si="3"/>
        <v>34.356254572055597</v>
      </c>
      <c r="G72" s="92">
        <f t="shared" si="7"/>
        <v>0.34356254572055595</v>
      </c>
      <c r="H72" s="6"/>
    </row>
    <row r="73" spans="1:8" x14ac:dyDescent="0.2">
      <c r="A73" s="4" t="s">
        <v>130</v>
      </c>
      <c r="B73" s="24">
        <v>6020.68</v>
      </c>
      <c r="C73" s="24">
        <f>B73/7.5345</f>
        <v>799.08155816577073</v>
      </c>
      <c r="D73" s="24">
        <v>150</v>
      </c>
      <c r="E73" s="24">
        <v>297.35000000000002</v>
      </c>
      <c r="F73" s="94">
        <f t="shared" si="3"/>
        <v>198.23333333333335</v>
      </c>
      <c r="G73" s="92">
        <f t="shared" si="7"/>
        <v>1.9823333333333335</v>
      </c>
      <c r="H73" s="6"/>
    </row>
    <row r="74" spans="1:8" x14ac:dyDescent="0.2">
      <c r="A74" s="81" t="s">
        <v>131</v>
      </c>
      <c r="B74" s="29">
        <v>0</v>
      </c>
      <c r="C74" s="32">
        <f>B74/7.5345</f>
        <v>0</v>
      </c>
      <c r="D74" s="29">
        <v>9300</v>
      </c>
      <c r="E74" s="29">
        <v>9.49</v>
      </c>
      <c r="F74" s="94">
        <f t="shared" si="3"/>
        <v>0.10204301075268818</v>
      </c>
      <c r="G74" s="92">
        <f t="shared" si="7"/>
        <v>1.0204301075268818E-3</v>
      </c>
      <c r="H74" s="6"/>
    </row>
    <row r="75" spans="1:8" s="27" customFormat="1" x14ac:dyDescent="0.2">
      <c r="A75" s="81" t="s">
        <v>363</v>
      </c>
      <c r="B75" s="29">
        <v>2058.98</v>
      </c>
      <c r="C75" s="32">
        <f>B75/7.5345</f>
        <v>273.27360806954675</v>
      </c>
      <c r="D75" s="29">
        <v>0</v>
      </c>
      <c r="E75" s="29">
        <v>539.94000000000005</v>
      </c>
      <c r="F75" s="94" t="e">
        <f t="shared" si="3"/>
        <v>#DIV/0!</v>
      </c>
      <c r="G75" s="92" t="e">
        <f t="shared" si="7"/>
        <v>#DIV/0!</v>
      </c>
      <c r="H75" s="6"/>
    </row>
    <row r="76" spans="1:8" x14ac:dyDescent="0.2">
      <c r="A76" s="83" t="s">
        <v>8</v>
      </c>
      <c r="B76" s="74">
        <f>B77+B82</f>
        <v>0</v>
      </c>
      <c r="C76" s="74">
        <f>C77+C82</f>
        <v>0</v>
      </c>
      <c r="D76" s="74">
        <f>D77+D82</f>
        <v>22600</v>
      </c>
      <c r="E76" s="74">
        <f>E77+E82</f>
        <v>11530.05</v>
      </c>
      <c r="F76" s="94">
        <f t="shared" si="3"/>
        <v>51.017920353982291</v>
      </c>
      <c r="G76" s="98">
        <f t="shared" si="7"/>
        <v>0.51017920353982293</v>
      </c>
      <c r="H76" s="6"/>
    </row>
    <row r="77" spans="1:8" x14ac:dyDescent="0.2">
      <c r="A77" s="81" t="s">
        <v>60</v>
      </c>
      <c r="B77" s="29">
        <f>B78</f>
        <v>0</v>
      </c>
      <c r="C77" s="29">
        <f>C78</f>
        <v>0</v>
      </c>
      <c r="D77" s="29">
        <f>D78</f>
        <v>19550</v>
      </c>
      <c r="E77" s="29">
        <f>E78</f>
        <v>11530.05</v>
      </c>
      <c r="F77" s="94">
        <f t="shared" si="3"/>
        <v>58.977237851662402</v>
      </c>
      <c r="G77" s="92">
        <f t="shared" si="7"/>
        <v>0.58977237851662401</v>
      </c>
      <c r="H77" s="6"/>
    </row>
    <row r="78" spans="1:8" x14ac:dyDescent="0.2">
      <c r="A78" s="42" t="s">
        <v>61</v>
      </c>
      <c r="B78" s="23">
        <f>B79+B80+B81</f>
        <v>0</v>
      </c>
      <c r="C78" s="23">
        <f>C79+C80+C81</f>
        <v>0</v>
      </c>
      <c r="D78" s="23">
        <f>D79+D80+D81</f>
        <v>19550</v>
      </c>
      <c r="E78" s="23">
        <f>E79+E80+E81</f>
        <v>11530.05</v>
      </c>
      <c r="F78" s="94">
        <f t="shared" si="3"/>
        <v>58.977237851662402</v>
      </c>
      <c r="G78" s="92">
        <f t="shared" si="7"/>
        <v>0.58977237851662401</v>
      </c>
      <c r="H78" s="6"/>
    </row>
    <row r="79" spans="1:8" x14ac:dyDescent="0.2">
      <c r="A79" s="4" t="s">
        <v>62</v>
      </c>
      <c r="B79" s="24">
        <v>0</v>
      </c>
      <c r="C79" s="24">
        <v>0</v>
      </c>
      <c r="D79" s="24">
        <f>2650+400</f>
        <v>3050</v>
      </c>
      <c r="E79" s="24">
        <v>2082.5500000000002</v>
      </c>
      <c r="F79" s="94">
        <f t="shared" si="3"/>
        <v>68.280327868852467</v>
      </c>
      <c r="G79" s="92">
        <f t="shared" si="7"/>
        <v>0.68280327868852464</v>
      </c>
      <c r="H79" s="6"/>
    </row>
    <row r="80" spans="1:8" x14ac:dyDescent="0.2">
      <c r="A80" s="4" t="s">
        <v>63</v>
      </c>
      <c r="B80" s="24">
        <v>0</v>
      </c>
      <c r="C80" s="24">
        <v>0</v>
      </c>
      <c r="D80" s="24">
        <v>0</v>
      </c>
      <c r="E80" s="24">
        <v>0</v>
      </c>
      <c r="F80" s="94" t="e">
        <f t="shared" si="3"/>
        <v>#DIV/0!</v>
      </c>
      <c r="G80" s="92">
        <v>0</v>
      </c>
      <c r="H80" s="6"/>
    </row>
    <row r="81" spans="1:8" x14ac:dyDescent="0.2">
      <c r="A81" s="4" t="s">
        <v>64</v>
      </c>
      <c r="B81" s="24">
        <v>0</v>
      </c>
      <c r="C81" s="24">
        <v>0</v>
      </c>
      <c r="D81" s="24">
        <f>3700+3300+9500</f>
        <v>16500</v>
      </c>
      <c r="E81" s="24">
        <v>9447.5</v>
      </c>
      <c r="F81" s="94">
        <f t="shared" si="3"/>
        <v>57.257575757575765</v>
      </c>
      <c r="G81" s="92">
        <f>E81/D81</f>
        <v>0.57257575757575763</v>
      </c>
      <c r="H81" s="6"/>
    </row>
    <row r="82" spans="1:8" x14ac:dyDescent="0.2">
      <c r="A82" s="84" t="s">
        <v>132</v>
      </c>
      <c r="B82" s="23">
        <v>0</v>
      </c>
      <c r="C82" s="23">
        <v>0</v>
      </c>
      <c r="D82" s="23">
        <f>395+2655</f>
        <v>3050</v>
      </c>
      <c r="E82" s="23">
        <v>0</v>
      </c>
      <c r="F82" s="94">
        <f t="shared" si="3"/>
        <v>0</v>
      </c>
      <c r="G82" s="92">
        <f>E82/D82</f>
        <v>0</v>
      </c>
      <c r="H82" s="5"/>
    </row>
    <row r="83" spans="1:8" x14ac:dyDescent="0.2">
      <c r="A83" s="85" t="s">
        <v>329</v>
      </c>
      <c r="B83" s="33">
        <v>0</v>
      </c>
      <c r="C83" s="33">
        <v>0</v>
      </c>
      <c r="D83" s="33">
        <v>0</v>
      </c>
      <c r="E83" s="33">
        <v>0</v>
      </c>
      <c r="F83" s="94" t="e">
        <f t="shared" si="3"/>
        <v>#DIV/0!</v>
      </c>
      <c r="G83" s="73">
        <v>0</v>
      </c>
    </row>
  </sheetData>
  <pageMargins left="0.75" right="0.75" top="1" bottom="1" header="0.5" footer="0.5"/>
  <pageSetup scale="8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AD4D-7126-43FF-BC25-95B8922AB412}">
  <dimension ref="A1:G14"/>
  <sheetViews>
    <sheetView workbookViewId="0">
      <selection activeCell="J11" sqref="J11"/>
    </sheetView>
  </sheetViews>
  <sheetFormatPr defaultColWidth="9.140625" defaultRowHeight="15.75" x14ac:dyDescent="0.25"/>
  <cols>
    <col min="1" max="1" width="36.42578125" style="54" customWidth="1"/>
    <col min="2" max="3" width="17.5703125" style="54" customWidth="1"/>
    <col min="4" max="4" width="14.42578125" style="54" customWidth="1"/>
    <col min="5" max="7" width="16.28515625" style="54" customWidth="1"/>
    <col min="8" max="16384" width="9.140625" style="54"/>
  </cols>
  <sheetData>
    <row r="1" spans="1:7" x14ac:dyDescent="0.25">
      <c r="A1" s="190"/>
      <c r="B1" s="190"/>
      <c r="C1" s="190"/>
      <c r="D1" s="190"/>
      <c r="E1" s="190"/>
      <c r="F1" s="190"/>
      <c r="G1" s="190"/>
    </row>
    <row r="2" spans="1:7" x14ac:dyDescent="0.25">
      <c r="A2" s="190" t="s">
        <v>446</v>
      </c>
      <c r="B2" s="190"/>
      <c r="C2" s="190"/>
      <c r="D2" s="190"/>
      <c r="E2" s="190"/>
      <c r="F2" s="190"/>
      <c r="G2" s="190"/>
    </row>
    <row r="3" spans="1:7" x14ac:dyDescent="0.25">
      <c r="A3" s="190" t="s">
        <v>447</v>
      </c>
      <c r="B3" s="190"/>
      <c r="C3" s="190"/>
      <c r="D3" s="190"/>
      <c r="E3" s="190"/>
      <c r="F3" s="191"/>
      <c r="G3" s="191"/>
    </row>
    <row r="4" spans="1:7" x14ac:dyDescent="0.25">
      <c r="A4" s="55"/>
      <c r="B4" s="55"/>
      <c r="C4" s="55"/>
      <c r="D4" s="55"/>
      <c r="E4" s="55"/>
      <c r="F4" s="56"/>
      <c r="G4" s="56"/>
    </row>
    <row r="5" spans="1:7" x14ac:dyDescent="0.25">
      <c r="A5" s="190" t="s">
        <v>448</v>
      </c>
      <c r="B5" s="190"/>
      <c r="C5" s="190"/>
      <c r="D5" s="190"/>
      <c r="E5" s="192"/>
      <c r="F5" s="192"/>
      <c r="G5" s="192"/>
    </row>
    <row r="6" spans="1:7" x14ac:dyDescent="0.25">
      <c r="A6" s="55"/>
      <c r="B6" s="55"/>
      <c r="C6" s="55"/>
      <c r="D6" s="55"/>
      <c r="E6" s="55"/>
      <c r="F6" s="56"/>
      <c r="G6" s="56"/>
    </row>
    <row r="7" spans="1:7" x14ac:dyDescent="0.25">
      <c r="A7" s="190" t="s">
        <v>449</v>
      </c>
      <c r="B7" s="190"/>
      <c r="C7" s="190"/>
      <c r="D7" s="190"/>
      <c r="E7" s="191"/>
      <c r="F7" s="191"/>
      <c r="G7" s="191"/>
    </row>
    <row r="8" spans="1:7" x14ac:dyDescent="0.25">
      <c r="A8" s="55"/>
      <c r="B8" s="55"/>
      <c r="C8" s="55"/>
      <c r="D8" s="55"/>
      <c r="E8" s="55"/>
      <c r="F8" s="56"/>
      <c r="G8" s="56"/>
    </row>
    <row r="9" spans="1:7" s="59" customFormat="1" ht="25.5" x14ac:dyDescent="0.25">
      <c r="A9" s="57" t="s">
        <v>450</v>
      </c>
      <c r="B9" s="47" t="s">
        <v>409</v>
      </c>
      <c r="C9" s="47" t="s">
        <v>410</v>
      </c>
      <c r="D9" s="47" t="s">
        <v>403</v>
      </c>
      <c r="E9" s="47" t="s">
        <v>404</v>
      </c>
      <c r="F9" s="58" t="s">
        <v>451</v>
      </c>
      <c r="G9" s="58" t="s">
        <v>451</v>
      </c>
    </row>
    <row r="10" spans="1:7" s="62" customFormat="1" ht="11.25" x14ac:dyDescent="0.2">
      <c r="A10" s="60">
        <v>1</v>
      </c>
      <c r="B10" s="61">
        <v>2</v>
      </c>
      <c r="C10" s="61">
        <v>3</v>
      </c>
      <c r="D10" s="61">
        <v>4</v>
      </c>
      <c r="E10" s="61">
        <v>5</v>
      </c>
      <c r="F10" s="61" t="s">
        <v>456</v>
      </c>
      <c r="G10" s="61" t="s">
        <v>457</v>
      </c>
    </row>
    <row r="11" spans="1:7" s="62" customFormat="1" ht="15" x14ac:dyDescent="0.2">
      <c r="A11" s="63" t="s">
        <v>452</v>
      </c>
      <c r="B11" s="64">
        <v>0</v>
      </c>
      <c r="C11" s="64"/>
      <c r="D11" s="64">
        <v>0</v>
      </c>
      <c r="E11" s="64">
        <v>0</v>
      </c>
      <c r="F11" s="64"/>
      <c r="G11" s="64"/>
    </row>
    <row r="12" spans="1:7" s="59" customFormat="1" ht="15" x14ac:dyDescent="0.25">
      <c r="A12" s="65" t="s">
        <v>453</v>
      </c>
      <c r="B12" s="66">
        <f>SUM(B13:B14)</f>
        <v>3229034.8</v>
      </c>
      <c r="C12" s="66">
        <f>SUM(C13:C14)</f>
        <v>422904.5</v>
      </c>
      <c r="D12" s="66">
        <f>SUM(D13:D14)</f>
        <v>956162.15</v>
      </c>
      <c r="E12" s="66">
        <f>SUM(E13:E14)</f>
        <v>516234.98</v>
      </c>
      <c r="F12" s="67">
        <f>SUM(E12/C12*100)</f>
        <v>122.06892572673027</v>
      </c>
      <c r="G12" s="67">
        <f>SUM(E12/D12*100)</f>
        <v>53.990317437267308</v>
      </c>
    </row>
    <row r="13" spans="1:7" s="59" customFormat="1" ht="15" x14ac:dyDescent="0.25">
      <c r="A13" s="65" t="s">
        <v>454</v>
      </c>
      <c r="B13" s="68">
        <v>3117676</v>
      </c>
      <c r="C13" s="68">
        <v>408124.65</v>
      </c>
      <c r="D13" s="69">
        <v>872461.15</v>
      </c>
      <c r="E13" s="67">
        <v>484953.36</v>
      </c>
      <c r="F13" s="67">
        <f>SUM(E13/C13*100)</f>
        <v>118.8248149186774</v>
      </c>
      <c r="G13" s="67">
        <f>SUM(E13/D13*100)</f>
        <v>55.58452201567944</v>
      </c>
    </row>
    <row r="14" spans="1:7" s="59" customFormat="1" ht="15" x14ac:dyDescent="0.25">
      <c r="A14" s="70" t="s">
        <v>455</v>
      </c>
      <c r="B14" s="69">
        <v>111358.8</v>
      </c>
      <c r="C14" s="69">
        <v>14779.85</v>
      </c>
      <c r="D14" s="69">
        <v>83701</v>
      </c>
      <c r="E14" s="67">
        <v>31281.62</v>
      </c>
      <c r="F14" s="67">
        <f>SUM(E14/C14*100)</f>
        <v>211.65045653372664</v>
      </c>
      <c r="G14" s="67">
        <f>SUM(E14/D14*100)</f>
        <v>37.373054085375323</v>
      </c>
    </row>
  </sheetData>
  <mergeCells count="5">
    <mergeCell ref="A1:G1"/>
    <mergeCell ref="A2:G2"/>
    <mergeCell ref="A3:G3"/>
    <mergeCell ref="A5:G5"/>
    <mergeCell ref="A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5" workbookViewId="0">
      <selection activeCell="B29" sqref="B29"/>
    </sheetView>
  </sheetViews>
  <sheetFormatPr defaultRowHeight="12.75" x14ac:dyDescent="0.2"/>
  <cols>
    <col min="1" max="1" width="54.140625" style="35" customWidth="1"/>
    <col min="2" max="2" width="13.85546875" style="35" bestFit="1" customWidth="1"/>
    <col min="3" max="3" width="13.85546875" style="35" customWidth="1"/>
    <col min="4" max="4" width="12.28515625" style="35" bestFit="1" customWidth="1"/>
    <col min="5" max="5" width="9.28515625" style="35" hidden="1" customWidth="1"/>
    <col min="6" max="6" width="12.28515625" style="35" customWidth="1"/>
    <col min="7" max="7" width="9.140625" style="35"/>
    <col min="8" max="8" width="12.7109375" style="35" customWidth="1"/>
    <col min="9" max="9" width="0.28515625" style="35" customWidth="1"/>
    <col min="10" max="16384" width="9.140625" style="35"/>
  </cols>
  <sheetData>
    <row r="1" spans="1:9" x14ac:dyDescent="0.2">
      <c r="A1" s="35" t="s">
        <v>0</v>
      </c>
    </row>
    <row r="2" spans="1:9" ht="25.5" customHeight="1" x14ac:dyDescent="0.2">
      <c r="A2" s="193" t="s">
        <v>117</v>
      </c>
      <c r="B2" s="193"/>
      <c r="C2" s="193"/>
      <c r="D2" s="193"/>
      <c r="E2" s="193"/>
      <c r="F2" s="193"/>
      <c r="G2" s="193"/>
      <c r="H2" s="193"/>
    </row>
    <row r="4" spans="1:9" ht="35.25" customHeight="1" x14ac:dyDescent="0.2">
      <c r="A4" s="49" t="s">
        <v>1</v>
      </c>
      <c r="B4" s="47" t="s">
        <v>438</v>
      </c>
      <c r="C4" s="47" t="s">
        <v>439</v>
      </c>
      <c r="D4" s="47" t="s">
        <v>403</v>
      </c>
      <c r="E4" s="47" t="s">
        <v>350</v>
      </c>
      <c r="F4" s="47" t="s">
        <v>406</v>
      </c>
      <c r="G4" s="47" t="s">
        <v>351</v>
      </c>
      <c r="H4" s="47" t="s">
        <v>352</v>
      </c>
    </row>
    <row r="5" spans="1:9" x14ac:dyDescent="0.2">
      <c r="A5" s="50">
        <v>1</v>
      </c>
      <c r="B5" s="50">
        <v>2</v>
      </c>
      <c r="C5" s="50">
        <v>2</v>
      </c>
      <c r="D5" s="50">
        <v>3</v>
      </c>
      <c r="E5" s="50"/>
      <c r="F5" s="50">
        <v>4</v>
      </c>
      <c r="G5" s="50">
        <v>5</v>
      </c>
      <c r="H5" s="50">
        <v>6</v>
      </c>
    </row>
    <row r="6" spans="1:9" x14ac:dyDescent="0.2">
      <c r="A6" s="51" t="s">
        <v>65</v>
      </c>
      <c r="B6" s="52">
        <f>B7+B8+B12+B13+B9+B10+B14+B15+B11+B16+B17</f>
        <v>3226174.3</v>
      </c>
      <c r="C6" s="52">
        <f>C7+C8+C12+C13+C9+C10+C14+C15+C11+C16+C17</f>
        <v>428186.91353109025</v>
      </c>
      <c r="D6" s="52">
        <f>D7+D8+D12+D13+D9+D10+D14+D15+D11+D16+D17</f>
        <v>956162.15</v>
      </c>
      <c r="E6" s="52"/>
      <c r="F6" s="52">
        <f>F7+F8+F12+F13+F9+F10+F14+F15+F11+F16+F17</f>
        <v>519548.1</v>
      </c>
      <c r="G6" s="53">
        <f>F6/C6*100</f>
        <v>121.33675354893256</v>
      </c>
      <c r="H6" s="53">
        <f>F6/D6*100</f>
        <v>54.336819335507059</v>
      </c>
    </row>
    <row r="7" spans="1:9" x14ac:dyDescent="0.2">
      <c r="A7" s="36" t="s">
        <v>135</v>
      </c>
      <c r="B7" s="37">
        <v>1021.03</v>
      </c>
      <c r="C7" s="37">
        <f>1021.03/7.5345</f>
        <v>135.51396907558563</v>
      </c>
      <c r="D7" s="38">
        <f>725.15+12300</f>
        <v>13025.15</v>
      </c>
      <c r="E7" s="38"/>
      <c r="F7" s="38">
        <f>406.55+7780.5</f>
        <v>8187.05</v>
      </c>
      <c r="G7" s="53">
        <f t="shared" ref="G7:G28" si="0">F7/C7*100</f>
        <v>6041.4804878407103</v>
      </c>
      <c r="H7" s="53">
        <f t="shared" ref="H7:H28" si="1">F7/D7*100</f>
        <v>62.855706076321582</v>
      </c>
      <c r="I7" s="39"/>
    </row>
    <row r="8" spans="1:9" x14ac:dyDescent="0.2">
      <c r="A8" s="36" t="s">
        <v>136</v>
      </c>
      <c r="B8" s="37">
        <v>142868.5</v>
      </c>
      <c r="C8" s="37">
        <f>142868.5/7.5345</f>
        <v>18961.908553985002</v>
      </c>
      <c r="D8" s="38">
        <f>44116+10500</f>
        <v>54616</v>
      </c>
      <c r="E8" s="38"/>
      <c r="F8" s="38">
        <f>9447.5+20771.21</f>
        <v>30218.71</v>
      </c>
      <c r="G8" s="53">
        <f t="shared" si="0"/>
        <v>159.36533980198575</v>
      </c>
      <c r="H8" s="53">
        <f t="shared" si="1"/>
        <v>55.329408964406035</v>
      </c>
      <c r="I8" s="39"/>
    </row>
    <row r="9" spans="1:9" x14ac:dyDescent="0.2">
      <c r="A9" s="36" t="s">
        <v>467</v>
      </c>
      <c r="B9" s="37">
        <v>15114.76</v>
      </c>
      <c r="C9" s="37">
        <f>15114.76/7.5345</f>
        <v>2006.0733957130533</v>
      </c>
      <c r="D9" s="38">
        <f>3318</f>
        <v>3318</v>
      </c>
      <c r="E9" s="38"/>
      <c r="F9" s="38">
        <f>2519.01</f>
        <v>2519.0100000000002</v>
      </c>
      <c r="G9" s="53">
        <f t="shared" si="0"/>
        <v>125.56918432710809</v>
      </c>
      <c r="H9" s="53">
        <f t="shared" si="1"/>
        <v>75.919529837251361</v>
      </c>
      <c r="I9" s="39"/>
    </row>
    <row r="10" spans="1:9" ht="14.25" customHeight="1" x14ac:dyDescent="0.2">
      <c r="A10" s="36" t="s">
        <v>468</v>
      </c>
      <c r="B10" s="37">
        <v>23128.560000000001</v>
      </c>
      <c r="C10" s="37">
        <f>23128.56/7.5345</f>
        <v>3069.6874377861836</v>
      </c>
      <c r="D10" s="38">
        <f>6900</f>
        <v>6900</v>
      </c>
      <c r="E10" s="38"/>
      <c r="F10" s="38">
        <v>3420</v>
      </c>
      <c r="G10" s="53">
        <f t="shared" si="0"/>
        <v>111.41199452105968</v>
      </c>
      <c r="H10" s="53">
        <f t="shared" si="1"/>
        <v>49.565217391304351</v>
      </c>
      <c r="I10" s="39"/>
    </row>
    <row r="11" spans="1:9" x14ac:dyDescent="0.2">
      <c r="A11" s="36" t="s">
        <v>280</v>
      </c>
      <c r="B11" s="37">
        <v>49576.54</v>
      </c>
      <c r="C11" s="37">
        <f>49576.54/7.5345</f>
        <v>6579.9376202800449</v>
      </c>
      <c r="D11" s="38">
        <f>21910</f>
        <v>21910</v>
      </c>
      <c r="E11" s="38"/>
      <c r="F11" s="38">
        <v>15735.72</v>
      </c>
      <c r="G11" s="53">
        <f t="shared" si="0"/>
        <v>239.1469480121041</v>
      </c>
      <c r="H11" s="53">
        <f t="shared" si="1"/>
        <v>71.819808306709263</v>
      </c>
      <c r="I11" s="39"/>
    </row>
    <row r="12" spans="1:9" x14ac:dyDescent="0.2">
      <c r="A12" s="40" t="s">
        <v>139</v>
      </c>
      <c r="B12" s="37">
        <v>20072.98</v>
      </c>
      <c r="C12" s="37">
        <f>20072.98/7.5345</f>
        <v>2664.1422788506202</v>
      </c>
      <c r="D12" s="38">
        <f>9775</f>
        <v>9775</v>
      </c>
      <c r="E12" s="38"/>
      <c r="F12" s="38">
        <f>475.47+4.46</f>
        <v>479.93</v>
      </c>
      <c r="G12" s="53">
        <f t="shared" si="0"/>
        <v>18.014428276220077</v>
      </c>
      <c r="H12" s="53">
        <f t="shared" si="1"/>
        <v>4.9097698209718672</v>
      </c>
      <c r="I12" s="39"/>
    </row>
    <row r="13" spans="1:9" x14ac:dyDescent="0.2">
      <c r="A13" s="36" t="s">
        <v>137</v>
      </c>
      <c r="B13" s="37">
        <v>84455</v>
      </c>
      <c r="C13" s="37">
        <f>84455/7.5345</f>
        <v>11209.104784657242</v>
      </c>
      <c r="D13" s="38">
        <f>15744+3000+8870</f>
        <v>27614</v>
      </c>
      <c r="E13" s="38"/>
      <c r="F13" s="38">
        <f>5228.33+4111.84+1856.41</f>
        <v>11196.58</v>
      </c>
      <c r="G13" s="53">
        <f t="shared" si="0"/>
        <v>99.888262400094746</v>
      </c>
      <c r="H13" s="53">
        <f t="shared" si="1"/>
        <v>40.546751647714927</v>
      </c>
      <c r="I13" s="39"/>
    </row>
    <row r="14" spans="1:9" x14ac:dyDescent="0.2">
      <c r="A14" s="36" t="s">
        <v>466</v>
      </c>
      <c r="B14" s="37">
        <v>2848995.13</v>
      </c>
      <c r="C14" s="37">
        <f>2848995.13/7.5345</f>
        <v>378126.63481319259</v>
      </c>
      <c r="D14" s="38">
        <f>59100+746181</f>
        <v>805281</v>
      </c>
      <c r="E14" s="38"/>
      <c r="F14" s="38">
        <f>410731.07+28037.73+520</f>
        <v>439288.8</v>
      </c>
      <c r="G14" s="53">
        <f t="shared" si="0"/>
        <v>116.17504813355018</v>
      </c>
      <c r="H14" s="53">
        <f t="shared" si="1"/>
        <v>54.550995242654423</v>
      </c>
      <c r="I14" s="39"/>
    </row>
    <row r="15" spans="1:9" x14ac:dyDescent="0.2">
      <c r="A15" s="36" t="s">
        <v>279</v>
      </c>
      <c r="B15" s="37">
        <v>0</v>
      </c>
      <c r="C15" s="37">
        <v>0</v>
      </c>
      <c r="D15" s="41">
        <v>0</v>
      </c>
      <c r="E15" s="41"/>
      <c r="F15" s="42">
        <v>0</v>
      </c>
      <c r="G15" s="53" t="e">
        <f t="shared" si="0"/>
        <v>#DIV/0!</v>
      </c>
      <c r="H15" s="53" t="e">
        <f t="shared" si="1"/>
        <v>#DIV/0!</v>
      </c>
      <c r="I15" s="39"/>
    </row>
    <row r="16" spans="1:9" x14ac:dyDescent="0.2">
      <c r="A16" s="36" t="s">
        <v>138</v>
      </c>
      <c r="B16" s="37">
        <v>40941.800000000003</v>
      </c>
      <c r="C16" s="37">
        <f>40941.8/7.5345</f>
        <v>5433.9106775499367</v>
      </c>
      <c r="D16" s="38">
        <f>1013+9010+3485</f>
        <v>13508</v>
      </c>
      <c r="E16" s="38"/>
      <c r="F16" s="38">
        <f>4412.16+3077.3+1012.84</f>
        <v>8502.2999999999993</v>
      </c>
      <c r="G16" s="53">
        <f t="shared" si="0"/>
        <v>156.46742290275463</v>
      </c>
      <c r="H16" s="53">
        <f t="shared" si="1"/>
        <v>62.94270062185371</v>
      </c>
      <c r="I16" s="39"/>
    </row>
    <row r="17" spans="1:9" x14ac:dyDescent="0.2">
      <c r="A17" s="36" t="s">
        <v>119</v>
      </c>
      <c r="B17" s="37">
        <v>0</v>
      </c>
      <c r="C17" s="37">
        <v>0</v>
      </c>
      <c r="D17" s="38">
        <v>215</v>
      </c>
      <c r="E17" s="38"/>
      <c r="F17" s="38">
        <v>0</v>
      </c>
      <c r="G17" s="53" t="e">
        <f t="shared" si="0"/>
        <v>#DIV/0!</v>
      </c>
      <c r="H17" s="53">
        <f t="shared" si="1"/>
        <v>0</v>
      </c>
      <c r="I17" s="39"/>
    </row>
    <row r="18" spans="1:9" x14ac:dyDescent="0.2">
      <c r="A18" s="99" t="s">
        <v>67</v>
      </c>
      <c r="B18" s="100">
        <f>B19+B20+B21+B22+B23+B28</f>
        <v>3256454.42</v>
      </c>
      <c r="C18" s="100">
        <f>C19+C20+C21+C22+C23+C28</f>
        <v>432205.77609662217</v>
      </c>
      <c r="D18" s="100">
        <f>D19+D20+D21+D22+D23+D28</f>
        <v>956162.15</v>
      </c>
      <c r="E18" s="100"/>
      <c r="F18" s="100">
        <f>F19+F20+F21+F22+F23</f>
        <v>516249.39999999997</v>
      </c>
      <c r="G18" s="101">
        <f t="shared" si="0"/>
        <v>119.44528013077486</v>
      </c>
      <c r="H18" s="101">
        <f t="shared" si="1"/>
        <v>53.991825549672711</v>
      </c>
    </row>
    <row r="19" spans="1:9" x14ac:dyDescent="0.2">
      <c r="A19" s="36" t="s">
        <v>135</v>
      </c>
      <c r="B19" s="37">
        <v>35895.53</v>
      </c>
      <c r="C19" s="37">
        <f>35895.53/7.5345</f>
        <v>4764.1555511314618</v>
      </c>
      <c r="D19" s="38">
        <f>725.15+12300</f>
        <v>13025.15</v>
      </c>
      <c r="E19" s="38"/>
      <c r="F19" s="38">
        <f>406.55+7780.5+200</f>
        <v>8387.0499999999993</v>
      </c>
      <c r="G19" s="53">
        <f>F19/C19*100</f>
        <v>176.04483963602152</v>
      </c>
      <c r="H19" s="53">
        <f t="shared" si="1"/>
        <v>64.391197030360487</v>
      </c>
      <c r="I19" s="39"/>
    </row>
    <row r="20" spans="1:9" x14ac:dyDescent="0.2">
      <c r="A20" s="36" t="s">
        <v>136</v>
      </c>
      <c r="B20" s="37">
        <v>166107.6</v>
      </c>
      <c r="C20" s="37">
        <f>166107.6/7.5345</f>
        <v>22046.26717101334</v>
      </c>
      <c r="D20" s="38">
        <f>44116+10500</f>
        <v>54616</v>
      </c>
      <c r="E20" s="38"/>
      <c r="F20" s="38">
        <f>20771.21+3917.5+9447.5</f>
        <v>34136.21</v>
      </c>
      <c r="G20" s="53">
        <f t="shared" si="0"/>
        <v>154.83895634215409</v>
      </c>
      <c r="H20" s="53">
        <f t="shared" si="1"/>
        <v>62.502215467994723</v>
      </c>
      <c r="I20" s="39"/>
    </row>
    <row r="21" spans="1:9" x14ac:dyDescent="0.2">
      <c r="A21" s="40" t="s">
        <v>139</v>
      </c>
      <c r="B21" s="37">
        <v>35056.89</v>
      </c>
      <c r="C21" s="37">
        <f>35056.89/7.5345</f>
        <v>4652.8488950826195</v>
      </c>
      <c r="D21" s="38">
        <f>9775</f>
        <v>9775</v>
      </c>
      <c r="E21" s="38"/>
      <c r="F21" s="38">
        <f>2668.69</f>
        <v>2668.69</v>
      </c>
      <c r="G21" s="53">
        <f t="shared" si="0"/>
        <v>57.356042720846034</v>
      </c>
      <c r="H21" s="53">
        <f t="shared" si="1"/>
        <v>27.301176470588235</v>
      </c>
      <c r="I21" s="39"/>
    </row>
    <row r="22" spans="1:9" x14ac:dyDescent="0.2">
      <c r="A22" s="36" t="s">
        <v>137</v>
      </c>
      <c r="B22" s="37">
        <v>63506.19</v>
      </c>
      <c r="C22" s="37">
        <f>63506.19/7.5345</f>
        <v>8428.71988851284</v>
      </c>
      <c r="D22" s="38">
        <f>27614</f>
        <v>27614</v>
      </c>
      <c r="E22" s="38"/>
      <c r="F22" s="38">
        <f>5088.8+1280.8+4216.39</f>
        <v>10585.990000000002</v>
      </c>
      <c r="G22" s="53">
        <f t="shared" si="0"/>
        <v>125.59427932143311</v>
      </c>
      <c r="H22" s="53">
        <f t="shared" si="1"/>
        <v>38.335590642427761</v>
      </c>
      <c r="I22" s="39"/>
    </row>
    <row r="23" spans="1:9" x14ac:dyDescent="0.2">
      <c r="A23" s="36" t="s">
        <v>66</v>
      </c>
      <c r="B23" s="37">
        <v>2955888.21</v>
      </c>
      <c r="C23" s="37">
        <f>(B24+B25+B26+B27)/7.5345</f>
        <v>392313.7845908819</v>
      </c>
      <c r="D23" s="38">
        <f>D26+D24+D27</f>
        <v>850917</v>
      </c>
      <c r="E23" s="38"/>
      <c r="F23" s="38">
        <f>F24+F26+F27</f>
        <v>460471.45999999996</v>
      </c>
      <c r="G23" s="53">
        <f t="shared" si="0"/>
        <v>117.3732553089347</v>
      </c>
      <c r="H23" s="53">
        <f t="shared" si="1"/>
        <v>54.114732694258073</v>
      </c>
      <c r="I23" s="39"/>
    </row>
    <row r="24" spans="1:9" ht="14.25" customHeight="1" x14ac:dyDescent="0.2">
      <c r="A24" s="102" t="s">
        <v>118</v>
      </c>
      <c r="B24" s="37">
        <v>2841610.89</v>
      </c>
      <c r="C24" s="37">
        <f>2841610.89/7.5345</f>
        <v>377146.57774238504</v>
      </c>
      <c r="D24" s="38">
        <f>59100+746181+3318+6900</f>
        <v>815499</v>
      </c>
      <c r="E24" s="38"/>
      <c r="F24" s="38">
        <f>2519.01+20989.66+3420+410797.03</f>
        <v>437725.7</v>
      </c>
      <c r="G24" s="53">
        <f t="shared" si="0"/>
        <v>116.06248759308492</v>
      </c>
      <c r="H24" s="53">
        <f t="shared" si="1"/>
        <v>53.675810761263968</v>
      </c>
      <c r="I24" s="39"/>
    </row>
    <row r="25" spans="1:9" x14ac:dyDescent="0.2">
      <c r="A25" s="102" t="s">
        <v>279</v>
      </c>
      <c r="B25" s="37">
        <v>0</v>
      </c>
      <c r="C25" s="37">
        <v>0</v>
      </c>
      <c r="D25" s="38"/>
      <c r="E25" s="38"/>
      <c r="F25" s="38">
        <v>0</v>
      </c>
      <c r="G25" s="53" t="e">
        <f t="shared" si="0"/>
        <v>#DIV/0!</v>
      </c>
      <c r="H25" s="53" t="e">
        <f t="shared" si="1"/>
        <v>#DIV/0!</v>
      </c>
      <c r="I25" s="39"/>
    </row>
    <row r="26" spans="1:9" x14ac:dyDescent="0.2">
      <c r="A26" s="102" t="s">
        <v>465</v>
      </c>
      <c r="B26" s="37">
        <v>52576.54</v>
      </c>
      <c r="C26" s="37">
        <f>52576.54/7.5345</f>
        <v>6978.1060455239231</v>
      </c>
      <c r="D26" s="38">
        <v>21910</v>
      </c>
      <c r="E26" s="38"/>
      <c r="F26" s="38">
        <v>15735.72</v>
      </c>
      <c r="G26" s="53">
        <f t="shared" si="0"/>
        <v>225.50130217773935</v>
      </c>
      <c r="H26" s="53">
        <f t="shared" si="1"/>
        <v>71.819808306709263</v>
      </c>
      <c r="I26" s="39"/>
    </row>
    <row r="27" spans="1:9" x14ac:dyDescent="0.2">
      <c r="A27" s="36" t="s">
        <v>138</v>
      </c>
      <c r="B27" s="37">
        <v>61700.78</v>
      </c>
      <c r="C27" s="37">
        <f>61700.78/7.5345</f>
        <v>8189.1008029729901</v>
      </c>
      <c r="D27" s="38">
        <v>13508</v>
      </c>
      <c r="E27" s="38"/>
      <c r="F27" s="38">
        <f>4346.54+2663.5</f>
        <v>7010.04</v>
      </c>
      <c r="G27" s="53">
        <f t="shared" si="0"/>
        <v>85.602072421126621</v>
      </c>
      <c r="H27" s="53">
        <f t="shared" si="1"/>
        <v>51.895469351495407</v>
      </c>
      <c r="I27" s="39"/>
    </row>
    <row r="28" spans="1:9" x14ac:dyDescent="0.2">
      <c r="A28" s="36" t="s">
        <v>119</v>
      </c>
      <c r="B28" s="37">
        <v>0</v>
      </c>
      <c r="C28" s="37">
        <v>0</v>
      </c>
      <c r="D28" s="38">
        <v>215</v>
      </c>
      <c r="E28" s="38"/>
      <c r="F28" s="38">
        <v>0</v>
      </c>
      <c r="G28" s="53" t="e">
        <f t="shared" si="0"/>
        <v>#DIV/0!</v>
      </c>
      <c r="H28" s="53">
        <f t="shared" si="1"/>
        <v>0</v>
      </c>
      <c r="I28" s="39"/>
    </row>
    <row r="35" spans="1:8" x14ac:dyDescent="0.2">
      <c r="A35" s="43"/>
      <c r="B35" s="43"/>
      <c r="C35" s="43"/>
      <c r="D35" s="43"/>
      <c r="E35" s="43"/>
      <c r="F35" s="43"/>
      <c r="G35" s="43"/>
      <c r="H35" s="43"/>
    </row>
  </sheetData>
  <mergeCells count="1">
    <mergeCell ref="A2:H2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opLeftCell="A111" zoomScaleNormal="100" workbookViewId="0">
      <selection activeCell="F111" sqref="F111"/>
    </sheetView>
  </sheetViews>
  <sheetFormatPr defaultRowHeight="12.75" x14ac:dyDescent="0.2"/>
  <cols>
    <col min="1" max="1" width="12.28515625" style="103" customWidth="1"/>
    <col min="2" max="2" width="12.42578125" style="103" customWidth="1"/>
    <col min="3" max="3" width="17.42578125" style="103" customWidth="1"/>
    <col min="4" max="4" width="6.7109375" style="103" customWidth="1"/>
    <col min="5" max="5" width="21.5703125" style="103" customWidth="1"/>
    <col min="6" max="6" width="13" style="103" customWidth="1"/>
    <col min="7" max="7" width="13.140625" style="103" customWidth="1"/>
    <col min="8" max="9" width="9.140625" style="103" customWidth="1"/>
    <col min="10" max="10" width="9.5703125" style="103" customWidth="1"/>
    <col min="11" max="16384" width="9.140625" style="103"/>
  </cols>
  <sheetData>
    <row r="1" spans="1:8" ht="21.75" customHeight="1" x14ac:dyDescent="0.2">
      <c r="A1" s="203" t="s">
        <v>411</v>
      </c>
      <c r="B1" s="204"/>
      <c r="C1" s="204"/>
      <c r="D1" s="204"/>
      <c r="E1" s="204"/>
      <c r="F1" s="204"/>
      <c r="G1" s="204"/>
      <c r="H1" s="205"/>
    </row>
    <row r="2" spans="1:8" ht="21.75" customHeight="1" x14ac:dyDescent="0.2">
      <c r="A2" s="206"/>
      <c r="B2" s="207"/>
      <c r="C2" s="207"/>
      <c r="D2" s="207"/>
      <c r="E2" s="207"/>
      <c r="F2" s="207"/>
      <c r="G2" s="207"/>
      <c r="H2" s="208"/>
    </row>
    <row r="3" spans="1:8" ht="27" customHeight="1" x14ac:dyDescent="0.2">
      <c r="A3" s="201" t="s">
        <v>353</v>
      </c>
      <c r="B3" s="202"/>
      <c r="C3" s="202"/>
      <c r="D3" s="202"/>
      <c r="E3" s="202"/>
      <c r="F3" s="104" t="s">
        <v>412</v>
      </c>
      <c r="G3" s="105" t="s">
        <v>413</v>
      </c>
      <c r="H3" s="106" t="s">
        <v>398</v>
      </c>
    </row>
    <row r="4" spans="1:8" ht="19.5" customHeight="1" x14ac:dyDescent="0.2">
      <c r="A4" s="209">
        <v>1</v>
      </c>
      <c r="B4" s="210"/>
      <c r="C4" s="210"/>
      <c r="D4" s="210"/>
      <c r="E4" s="210"/>
      <c r="F4" s="107">
        <v>2</v>
      </c>
      <c r="G4" s="108">
        <v>4</v>
      </c>
      <c r="H4" s="109">
        <v>5</v>
      </c>
    </row>
    <row r="5" spans="1:8" ht="39" customHeight="1" x14ac:dyDescent="0.2">
      <c r="A5" s="196" t="s">
        <v>154</v>
      </c>
      <c r="B5" s="197"/>
      <c r="C5" s="197"/>
      <c r="D5" s="197"/>
      <c r="E5" s="197"/>
      <c r="F5" s="110">
        <f t="shared" ref="F5:G8" si="0">F6</f>
        <v>956162.15</v>
      </c>
      <c r="G5" s="110">
        <f t="shared" si="0"/>
        <v>516249.39999999997</v>
      </c>
      <c r="H5" s="111">
        <f t="shared" ref="H5:H14" si="1">G5/F5*100</f>
        <v>53.991825549672711</v>
      </c>
    </row>
    <row r="6" spans="1:8" ht="18" customHeight="1" x14ac:dyDescent="0.2">
      <c r="A6" s="196" t="s">
        <v>155</v>
      </c>
      <c r="B6" s="197"/>
      <c r="C6" s="197"/>
      <c r="D6" s="197"/>
      <c r="E6" s="197"/>
      <c r="F6" s="110">
        <f t="shared" si="0"/>
        <v>956162.15</v>
      </c>
      <c r="G6" s="110">
        <f t="shared" si="0"/>
        <v>516249.39999999997</v>
      </c>
      <c r="H6" s="111">
        <f t="shared" si="1"/>
        <v>53.991825549672711</v>
      </c>
    </row>
    <row r="7" spans="1:8" ht="16.5" customHeight="1" x14ac:dyDescent="0.2">
      <c r="A7" s="196" t="s">
        <v>156</v>
      </c>
      <c r="B7" s="197"/>
      <c r="C7" s="197"/>
      <c r="D7" s="197"/>
      <c r="E7" s="197"/>
      <c r="F7" s="110">
        <f t="shared" si="0"/>
        <v>956162.15</v>
      </c>
      <c r="G7" s="110">
        <f t="shared" si="0"/>
        <v>516249.39999999997</v>
      </c>
      <c r="H7" s="111">
        <f t="shared" si="1"/>
        <v>53.991825549672711</v>
      </c>
    </row>
    <row r="8" spans="1:8" ht="27" customHeight="1" x14ac:dyDescent="0.2">
      <c r="A8" s="196" t="s">
        <v>157</v>
      </c>
      <c r="B8" s="197"/>
      <c r="C8" s="197"/>
      <c r="D8" s="197"/>
      <c r="E8" s="197"/>
      <c r="F8" s="110">
        <f t="shared" si="0"/>
        <v>956162.15</v>
      </c>
      <c r="G8" s="110">
        <f t="shared" si="0"/>
        <v>516249.39999999997</v>
      </c>
      <c r="H8" s="111">
        <f t="shared" si="1"/>
        <v>53.991825549672711</v>
      </c>
    </row>
    <row r="9" spans="1:8" ht="12.75" customHeight="1" x14ac:dyDescent="0.2">
      <c r="A9" s="196" t="s">
        <v>158</v>
      </c>
      <c r="B9" s="197"/>
      <c r="C9" s="197"/>
      <c r="D9" s="197"/>
      <c r="E9" s="197"/>
      <c r="F9" s="110">
        <f>F10+F18+F54+F183+F231+F253+F191</f>
        <v>956162.15</v>
      </c>
      <c r="G9" s="110">
        <f>G10+G18+G54+G183+G253+G231+G191</f>
        <v>516249.39999999997</v>
      </c>
      <c r="H9" s="111">
        <f t="shared" si="1"/>
        <v>53.991825549672711</v>
      </c>
    </row>
    <row r="10" spans="1:8" ht="12.75" customHeight="1" x14ac:dyDescent="0.2">
      <c r="A10" s="211" t="s">
        <v>159</v>
      </c>
      <c r="B10" s="212"/>
      <c r="C10" s="212"/>
      <c r="D10" s="212"/>
      <c r="E10" s="212"/>
      <c r="F10" s="129">
        <f t="shared" ref="F10:G12" si="2">F11</f>
        <v>725.15</v>
      </c>
      <c r="G10" s="129">
        <f t="shared" si="2"/>
        <v>406.55</v>
      </c>
      <c r="H10" s="130">
        <f t="shared" si="1"/>
        <v>56.064262566365585</v>
      </c>
    </row>
    <row r="11" spans="1:8" ht="12.75" customHeight="1" x14ac:dyDescent="0.2">
      <c r="A11" s="213" t="s">
        <v>160</v>
      </c>
      <c r="B11" s="214"/>
      <c r="C11" s="214"/>
      <c r="D11" s="214"/>
      <c r="E11" s="214"/>
      <c r="F11" s="131">
        <f t="shared" si="2"/>
        <v>725.15</v>
      </c>
      <c r="G11" s="131">
        <f t="shared" si="2"/>
        <v>406.55</v>
      </c>
      <c r="H11" s="132">
        <f t="shared" si="1"/>
        <v>56.064262566365585</v>
      </c>
    </row>
    <row r="12" spans="1:8" ht="12.75" customHeight="1" x14ac:dyDescent="0.2">
      <c r="A12" s="112" t="s">
        <v>2</v>
      </c>
      <c r="B12" s="112"/>
      <c r="C12" s="196" t="s">
        <v>379</v>
      </c>
      <c r="D12" s="197"/>
      <c r="E12" s="197"/>
      <c r="F12" s="110">
        <f t="shared" si="2"/>
        <v>725.15</v>
      </c>
      <c r="G12" s="110">
        <f t="shared" si="2"/>
        <v>406.55</v>
      </c>
      <c r="H12" s="111">
        <f t="shared" si="1"/>
        <v>56.064262566365585</v>
      </c>
    </row>
    <row r="13" spans="1:8" ht="12.75" customHeight="1" x14ac:dyDescent="0.2">
      <c r="A13" s="112" t="s">
        <v>162</v>
      </c>
      <c r="B13" s="112"/>
      <c r="C13" s="196" t="s">
        <v>366</v>
      </c>
      <c r="D13" s="197"/>
      <c r="E13" s="197"/>
      <c r="F13" s="110">
        <f>F16+F14</f>
        <v>725.15</v>
      </c>
      <c r="G13" s="110">
        <f>G16+G14</f>
        <v>406.55</v>
      </c>
      <c r="H13" s="111">
        <f t="shared" si="1"/>
        <v>56.064262566365585</v>
      </c>
    </row>
    <row r="14" spans="1:8" ht="12.75" customHeight="1" x14ac:dyDescent="0.2">
      <c r="A14" s="112" t="s">
        <v>77</v>
      </c>
      <c r="B14" s="112"/>
      <c r="C14" s="196" t="s">
        <v>358</v>
      </c>
      <c r="D14" s="197"/>
      <c r="E14" s="197"/>
      <c r="F14" s="110">
        <v>345.15</v>
      </c>
      <c r="G14" s="110">
        <f>G15</f>
        <v>26.55</v>
      </c>
      <c r="H14" s="111">
        <f t="shared" si="1"/>
        <v>7.6923076923076925</v>
      </c>
    </row>
    <row r="15" spans="1:8" x14ac:dyDescent="0.2">
      <c r="A15" s="113" t="s">
        <v>165</v>
      </c>
      <c r="B15" s="113" t="s">
        <v>166</v>
      </c>
      <c r="C15" s="198" t="s">
        <v>167</v>
      </c>
      <c r="D15" s="199"/>
      <c r="E15" s="199"/>
      <c r="F15" s="114">
        <v>0</v>
      </c>
      <c r="G15" s="114">
        <v>26.55</v>
      </c>
      <c r="H15" s="111"/>
    </row>
    <row r="16" spans="1:8" ht="12.75" customHeight="1" x14ac:dyDescent="0.2">
      <c r="A16" s="112" t="s">
        <v>108</v>
      </c>
      <c r="B16" s="112"/>
      <c r="C16" s="196" t="s">
        <v>380</v>
      </c>
      <c r="D16" s="197"/>
      <c r="E16" s="197"/>
      <c r="F16" s="110">
        <v>380</v>
      </c>
      <c r="G16" s="110">
        <f>G17</f>
        <v>380</v>
      </c>
      <c r="H16" s="111">
        <f>G16/F16*100</f>
        <v>100</v>
      </c>
    </row>
    <row r="17" spans="1:8" ht="12.75" customHeight="1" x14ac:dyDescent="0.2">
      <c r="A17" s="113" t="s">
        <v>111</v>
      </c>
      <c r="B17" s="113" t="s">
        <v>169</v>
      </c>
      <c r="C17" s="198" t="s">
        <v>109</v>
      </c>
      <c r="D17" s="199"/>
      <c r="E17" s="199"/>
      <c r="F17" s="114">
        <v>0</v>
      </c>
      <c r="G17" s="114">
        <v>380</v>
      </c>
      <c r="H17" s="111"/>
    </row>
    <row r="18" spans="1:8" ht="12.75" customHeight="1" x14ac:dyDescent="0.2">
      <c r="A18" s="196" t="s">
        <v>170</v>
      </c>
      <c r="B18" s="197"/>
      <c r="C18" s="197"/>
      <c r="D18" s="197"/>
      <c r="E18" s="197"/>
      <c r="F18" s="110">
        <f>F19+F24+F34+F39+F44+F49</f>
        <v>86075</v>
      </c>
      <c r="G18" s="110">
        <f>G19+G24+G34+G39+G44</f>
        <v>32017.469999999998</v>
      </c>
      <c r="H18" s="111">
        <f>G18/F18*100</f>
        <v>37.19717688062736</v>
      </c>
    </row>
    <row r="19" spans="1:8" ht="12.75" customHeight="1" x14ac:dyDescent="0.2">
      <c r="A19" s="196" t="s">
        <v>160</v>
      </c>
      <c r="B19" s="197"/>
      <c r="C19" s="197"/>
      <c r="D19" s="197"/>
      <c r="E19" s="197"/>
      <c r="F19" s="110">
        <f t="shared" ref="F19:G21" si="3">F20</f>
        <v>0</v>
      </c>
      <c r="G19" s="110">
        <f t="shared" si="3"/>
        <v>0</v>
      </c>
      <c r="H19" s="111"/>
    </row>
    <row r="20" spans="1:8" ht="12.75" customHeight="1" x14ac:dyDescent="0.2">
      <c r="A20" s="112" t="s">
        <v>2</v>
      </c>
      <c r="B20" s="112"/>
      <c r="C20" s="196" t="s">
        <v>379</v>
      </c>
      <c r="D20" s="197"/>
      <c r="E20" s="197"/>
      <c r="F20" s="110">
        <f t="shared" si="3"/>
        <v>0</v>
      </c>
      <c r="G20" s="110">
        <f t="shared" si="3"/>
        <v>0</v>
      </c>
      <c r="H20" s="111"/>
    </row>
    <row r="21" spans="1:8" ht="12.75" customHeight="1" x14ac:dyDescent="0.2">
      <c r="A21" s="112" t="s">
        <v>162</v>
      </c>
      <c r="B21" s="112"/>
      <c r="C21" s="196" t="s">
        <v>355</v>
      </c>
      <c r="D21" s="197"/>
      <c r="E21" s="197"/>
      <c r="F21" s="110">
        <f t="shared" si="3"/>
        <v>0</v>
      </c>
      <c r="G21" s="110">
        <f t="shared" si="3"/>
        <v>0</v>
      </c>
      <c r="H21" s="111"/>
    </row>
    <row r="22" spans="1:8" ht="12.75" customHeight="1" x14ac:dyDescent="0.2">
      <c r="A22" s="112" t="s">
        <v>88</v>
      </c>
      <c r="B22" s="112"/>
      <c r="C22" s="196" t="s">
        <v>381</v>
      </c>
      <c r="D22" s="197"/>
      <c r="E22" s="197"/>
      <c r="F22" s="110">
        <v>0</v>
      </c>
      <c r="G22" s="110">
        <f>G23</f>
        <v>0</v>
      </c>
      <c r="H22" s="111"/>
    </row>
    <row r="23" spans="1:8" x14ac:dyDescent="0.2">
      <c r="A23" s="113" t="s">
        <v>91</v>
      </c>
      <c r="B23" s="113" t="s">
        <v>172</v>
      </c>
      <c r="C23" s="198" t="s">
        <v>92</v>
      </c>
      <c r="D23" s="199"/>
      <c r="E23" s="199"/>
      <c r="F23" s="114">
        <v>0</v>
      </c>
      <c r="G23" s="115">
        <v>0</v>
      </c>
      <c r="H23" s="111"/>
    </row>
    <row r="24" spans="1:8" ht="12.75" customHeight="1" x14ac:dyDescent="0.2">
      <c r="A24" s="196" t="s">
        <v>173</v>
      </c>
      <c r="B24" s="197"/>
      <c r="C24" s="197"/>
      <c r="D24" s="197"/>
      <c r="E24" s="197"/>
      <c r="F24" s="110">
        <f>F25+F32</f>
        <v>15744</v>
      </c>
      <c r="G24" s="110">
        <f>G25+G32</f>
        <v>5088.8</v>
      </c>
      <c r="H24" s="111">
        <f>G24/F24*100</f>
        <v>32.322154471544721</v>
      </c>
    </row>
    <row r="25" spans="1:8" ht="12.75" customHeight="1" x14ac:dyDescent="0.2">
      <c r="A25" s="112" t="s">
        <v>2</v>
      </c>
      <c r="B25" s="112"/>
      <c r="C25" s="196" t="s">
        <v>354</v>
      </c>
      <c r="D25" s="197"/>
      <c r="E25" s="197"/>
      <c r="F25" s="110">
        <f>F26</f>
        <v>12044</v>
      </c>
      <c r="G25" s="110">
        <f>G26</f>
        <v>5088.8</v>
      </c>
      <c r="H25" s="111">
        <f>G25/F25*100</f>
        <v>42.251743606775158</v>
      </c>
    </row>
    <row r="26" spans="1:8" ht="12.75" customHeight="1" x14ac:dyDescent="0.2">
      <c r="A26" s="112" t="s">
        <v>162</v>
      </c>
      <c r="B26" s="112"/>
      <c r="C26" s="196" t="s">
        <v>355</v>
      </c>
      <c r="D26" s="197"/>
      <c r="E26" s="197"/>
      <c r="F26" s="110">
        <f>F27</f>
        <v>12044</v>
      </c>
      <c r="G26" s="110">
        <f>G27</f>
        <v>5088.8</v>
      </c>
      <c r="H26" s="111">
        <f>G26/F26*100</f>
        <v>42.251743606775158</v>
      </c>
    </row>
    <row r="27" spans="1:8" ht="12.75" customHeight="1" x14ac:dyDescent="0.2">
      <c r="A27" s="112" t="s">
        <v>88</v>
      </c>
      <c r="B27" s="112"/>
      <c r="C27" s="196" t="s">
        <v>381</v>
      </c>
      <c r="D27" s="197"/>
      <c r="E27" s="197"/>
      <c r="F27" s="110">
        <v>12044</v>
      </c>
      <c r="G27" s="110">
        <f>G28+G29+G30+G31</f>
        <v>5088.8</v>
      </c>
      <c r="H27" s="111">
        <f>G27/F27*100</f>
        <v>42.251743606775158</v>
      </c>
    </row>
    <row r="28" spans="1:8" x14ac:dyDescent="0.2">
      <c r="A28" s="116">
        <v>3221</v>
      </c>
      <c r="B28" s="117" t="s">
        <v>414</v>
      </c>
      <c r="C28" s="117" t="s">
        <v>90</v>
      </c>
      <c r="D28" s="117"/>
      <c r="E28" s="117"/>
      <c r="F28" s="117"/>
      <c r="G28" s="117">
        <v>612.62</v>
      </c>
      <c r="H28" s="117"/>
    </row>
    <row r="29" spans="1:8" x14ac:dyDescent="0.2">
      <c r="A29" s="113" t="s">
        <v>91</v>
      </c>
      <c r="B29" s="113" t="s">
        <v>174</v>
      </c>
      <c r="C29" s="198" t="s">
        <v>92</v>
      </c>
      <c r="D29" s="199"/>
      <c r="E29" s="199"/>
      <c r="F29" s="114"/>
      <c r="G29" s="114">
        <v>1652.74</v>
      </c>
      <c r="H29" s="111"/>
    </row>
    <row r="30" spans="1:8" x14ac:dyDescent="0.2">
      <c r="A30" s="118">
        <v>3224</v>
      </c>
      <c r="B30" s="119" t="s">
        <v>415</v>
      </c>
      <c r="C30" s="195" t="s">
        <v>95</v>
      </c>
      <c r="D30" s="195"/>
      <c r="E30" s="195"/>
      <c r="F30" s="114"/>
      <c r="G30" s="114">
        <v>2347.89</v>
      </c>
      <c r="H30" s="111"/>
    </row>
    <row r="31" spans="1:8" x14ac:dyDescent="0.2">
      <c r="A31" s="118">
        <v>3225</v>
      </c>
      <c r="B31" s="119" t="s">
        <v>416</v>
      </c>
      <c r="C31" s="195" t="s">
        <v>417</v>
      </c>
      <c r="D31" s="195"/>
      <c r="E31" s="195"/>
      <c r="F31" s="114"/>
      <c r="G31" s="114">
        <v>475.55</v>
      </c>
      <c r="H31" s="111"/>
    </row>
    <row r="32" spans="1:8" ht="16.5" customHeight="1" x14ac:dyDescent="0.2">
      <c r="A32" s="120">
        <v>422</v>
      </c>
      <c r="B32" s="119"/>
      <c r="C32" s="194" t="s">
        <v>364</v>
      </c>
      <c r="D32" s="194"/>
      <c r="E32" s="194"/>
      <c r="F32" s="110">
        <v>3700</v>
      </c>
      <c r="G32" s="110">
        <f>G33</f>
        <v>0</v>
      </c>
      <c r="H32" s="111">
        <f>G32/F32*100</f>
        <v>0</v>
      </c>
    </row>
    <row r="33" spans="1:8" x14ac:dyDescent="0.2">
      <c r="A33" s="113">
        <v>4227</v>
      </c>
      <c r="B33" s="113" t="s">
        <v>365</v>
      </c>
      <c r="C33" s="198" t="s">
        <v>333</v>
      </c>
      <c r="D33" s="199"/>
      <c r="E33" s="199"/>
      <c r="F33" s="114"/>
      <c r="G33" s="114">
        <v>0</v>
      </c>
      <c r="H33" s="111"/>
    </row>
    <row r="34" spans="1:8" ht="12.75" customHeight="1" x14ac:dyDescent="0.2">
      <c r="A34" s="196" t="s">
        <v>175</v>
      </c>
      <c r="B34" s="197"/>
      <c r="C34" s="197"/>
      <c r="D34" s="197"/>
      <c r="E34" s="197"/>
      <c r="F34" s="110">
        <f t="shared" ref="F34:G36" si="4">F35</f>
        <v>3318</v>
      </c>
      <c r="G34" s="110">
        <f t="shared" si="4"/>
        <v>2519.0100000000002</v>
      </c>
      <c r="H34" s="111">
        <f>G34/F34*100</f>
        <v>75.919529837251361</v>
      </c>
    </row>
    <row r="35" spans="1:8" ht="12.75" customHeight="1" x14ac:dyDescent="0.2">
      <c r="A35" s="112" t="s">
        <v>2</v>
      </c>
      <c r="B35" s="112"/>
      <c r="C35" s="196" t="s">
        <v>379</v>
      </c>
      <c r="D35" s="197"/>
      <c r="E35" s="197"/>
      <c r="F35" s="110">
        <f t="shared" si="4"/>
        <v>3318</v>
      </c>
      <c r="G35" s="110">
        <f t="shared" si="4"/>
        <v>2519.0100000000002</v>
      </c>
      <c r="H35" s="111">
        <f>G35/F35*100</f>
        <v>75.919529837251361</v>
      </c>
    </row>
    <row r="36" spans="1:8" ht="12.75" customHeight="1" x14ac:dyDescent="0.2">
      <c r="A36" s="112" t="s">
        <v>162</v>
      </c>
      <c r="B36" s="112"/>
      <c r="C36" s="196" t="s">
        <v>355</v>
      </c>
      <c r="D36" s="197"/>
      <c r="E36" s="197"/>
      <c r="F36" s="110">
        <f t="shared" si="4"/>
        <v>3318</v>
      </c>
      <c r="G36" s="110">
        <f t="shared" si="4"/>
        <v>2519.0100000000002</v>
      </c>
      <c r="H36" s="111">
        <f>G36/F36*100</f>
        <v>75.919529837251361</v>
      </c>
    </row>
    <row r="37" spans="1:8" ht="12.75" customHeight="1" x14ac:dyDescent="0.2">
      <c r="A37" s="112" t="s">
        <v>88</v>
      </c>
      <c r="B37" s="112"/>
      <c r="C37" s="196" t="s">
        <v>356</v>
      </c>
      <c r="D37" s="197"/>
      <c r="E37" s="197"/>
      <c r="F37" s="110">
        <v>3318</v>
      </c>
      <c r="G37" s="110">
        <f>G38</f>
        <v>2519.0100000000002</v>
      </c>
      <c r="H37" s="111">
        <f>G37/F37*100</f>
        <v>75.919529837251361</v>
      </c>
    </row>
    <row r="38" spans="1:8" x14ac:dyDescent="0.2">
      <c r="A38" s="113" t="s">
        <v>91</v>
      </c>
      <c r="B38" s="113" t="s">
        <v>176</v>
      </c>
      <c r="C38" s="198" t="s">
        <v>92</v>
      </c>
      <c r="D38" s="199"/>
      <c r="E38" s="199"/>
      <c r="F38" s="114"/>
      <c r="G38" s="115">
        <v>2519.0100000000002</v>
      </c>
      <c r="H38" s="111"/>
    </row>
    <row r="39" spans="1:8" ht="12.75" customHeight="1" x14ac:dyDescent="0.2">
      <c r="A39" s="196" t="s">
        <v>177</v>
      </c>
      <c r="B39" s="197"/>
      <c r="C39" s="197"/>
      <c r="D39" s="197"/>
      <c r="E39" s="197"/>
      <c r="F39" s="110">
        <f t="shared" ref="F39:G41" si="5">F40</f>
        <v>6900</v>
      </c>
      <c r="G39" s="110">
        <f t="shared" si="5"/>
        <v>3420</v>
      </c>
      <c r="H39" s="111">
        <f>G39/F39*100</f>
        <v>49.565217391304351</v>
      </c>
    </row>
    <row r="40" spans="1:8" ht="12.75" customHeight="1" x14ac:dyDescent="0.2">
      <c r="A40" s="112" t="s">
        <v>2</v>
      </c>
      <c r="B40" s="112"/>
      <c r="C40" s="196" t="s">
        <v>379</v>
      </c>
      <c r="D40" s="197"/>
      <c r="E40" s="197"/>
      <c r="F40" s="110">
        <f t="shared" si="5"/>
        <v>6900</v>
      </c>
      <c r="G40" s="110">
        <f t="shared" si="5"/>
        <v>3420</v>
      </c>
      <c r="H40" s="111">
        <f>G40/F40*100</f>
        <v>49.565217391304351</v>
      </c>
    </row>
    <row r="41" spans="1:8" ht="12.75" customHeight="1" x14ac:dyDescent="0.2">
      <c r="A41" s="112" t="s">
        <v>162</v>
      </c>
      <c r="B41" s="112"/>
      <c r="C41" s="196" t="s">
        <v>355</v>
      </c>
      <c r="D41" s="197"/>
      <c r="E41" s="197"/>
      <c r="F41" s="110">
        <f t="shared" si="5"/>
        <v>6900</v>
      </c>
      <c r="G41" s="110">
        <f t="shared" si="5"/>
        <v>3420</v>
      </c>
      <c r="H41" s="111">
        <f>G41/F41*100</f>
        <v>49.565217391304351</v>
      </c>
    </row>
    <row r="42" spans="1:8" ht="12.75" customHeight="1" x14ac:dyDescent="0.2">
      <c r="A42" s="112" t="s">
        <v>88</v>
      </c>
      <c r="B42" s="112"/>
      <c r="C42" s="196" t="s">
        <v>356</v>
      </c>
      <c r="D42" s="197"/>
      <c r="E42" s="197"/>
      <c r="F42" s="110">
        <v>6900</v>
      </c>
      <c r="G42" s="110">
        <f>G43</f>
        <v>3420</v>
      </c>
      <c r="H42" s="111">
        <f>G42/F42*100</f>
        <v>49.565217391304351</v>
      </c>
    </row>
    <row r="43" spans="1:8" x14ac:dyDescent="0.2">
      <c r="A43" s="113" t="s">
        <v>91</v>
      </c>
      <c r="B43" s="113" t="s">
        <v>178</v>
      </c>
      <c r="C43" s="198" t="s">
        <v>92</v>
      </c>
      <c r="D43" s="199"/>
      <c r="E43" s="199"/>
      <c r="F43" s="114"/>
      <c r="G43" s="115">
        <v>3420</v>
      </c>
      <c r="H43" s="111"/>
    </row>
    <row r="44" spans="1:8" ht="12.75" customHeight="1" x14ac:dyDescent="0.2">
      <c r="A44" s="196" t="s">
        <v>418</v>
      </c>
      <c r="B44" s="197"/>
      <c r="C44" s="197"/>
      <c r="D44" s="197"/>
      <c r="E44" s="197"/>
      <c r="F44" s="110">
        <f t="shared" ref="F44:G46" si="6">F45</f>
        <v>59100</v>
      </c>
      <c r="G44" s="110">
        <f t="shared" si="6"/>
        <v>20989.659999999996</v>
      </c>
      <c r="H44" s="111">
        <f>G44/F44*100</f>
        <v>35.515499153976307</v>
      </c>
    </row>
    <row r="45" spans="1:8" ht="12.75" customHeight="1" x14ac:dyDescent="0.2">
      <c r="A45" s="112" t="s">
        <v>2</v>
      </c>
      <c r="B45" s="112"/>
      <c r="C45" s="196" t="s">
        <v>354</v>
      </c>
      <c r="D45" s="197"/>
      <c r="E45" s="197"/>
      <c r="F45" s="110">
        <f t="shared" si="6"/>
        <v>59100</v>
      </c>
      <c r="G45" s="110">
        <f t="shared" si="6"/>
        <v>20989.659999999996</v>
      </c>
      <c r="H45" s="111">
        <f>G45/F45*100</f>
        <v>35.515499153976307</v>
      </c>
    </row>
    <row r="46" spans="1:8" ht="12.75" customHeight="1" x14ac:dyDescent="0.2">
      <c r="A46" s="112" t="s">
        <v>162</v>
      </c>
      <c r="B46" s="112"/>
      <c r="C46" s="196" t="s">
        <v>355</v>
      </c>
      <c r="D46" s="197"/>
      <c r="E46" s="197"/>
      <c r="F46" s="110">
        <f t="shared" si="6"/>
        <v>59100</v>
      </c>
      <c r="G46" s="110">
        <f t="shared" si="6"/>
        <v>20989.659999999996</v>
      </c>
      <c r="H46" s="111">
        <f>G46/F46*100</f>
        <v>35.515499153976307</v>
      </c>
    </row>
    <row r="47" spans="1:8" ht="12.75" customHeight="1" x14ac:dyDescent="0.2">
      <c r="A47" s="112" t="s">
        <v>88</v>
      </c>
      <c r="B47" s="112"/>
      <c r="C47" s="196" t="s">
        <v>356</v>
      </c>
      <c r="D47" s="197"/>
      <c r="E47" s="197"/>
      <c r="F47" s="110">
        <v>59100</v>
      </c>
      <c r="G47" s="110">
        <f>G48</f>
        <v>20989.659999999996</v>
      </c>
      <c r="H47" s="111">
        <f>G47/F47*100</f>
        <v>35.515499153976307</v>
      </c>
    </row>
    <row r="48" spans="1:8" x14ac:dyDescent="0.2">
      <c r="A48" s="113" t="s">
        <v>91</v>
      </c>
      <c r="B48" s="113" t="s">
        <v>419</v>
      </c>
      <c r="C48" s="198" t="s">
        <v>92</v>
      </c>
      <c r="D48" s="199"/>
      <c r="E48" s="199"/>
      <c r="F48" s="114">
        <v>0</v>
      </c>
      <c r="G48" s="115">
        <f>39.63+3050.49+2224.68+2513.82+3343.82+1837.74+5533.91+817.12+1628.45</f>
        <v>20989.659999999996</v>
      </c>
      <c r="H48" s="111"/>
    </row>
    <row r="49" spans="1:8" ht="12.75" customHeight="1" x14ac:dyDescent="0.2">
      <c r="A49" s="196" t="s">
        <v>420</v>
      </c>
      <c r="B49" s="197"/>
      <c r="C49" s="197"/>
      <c r="D49" s="197"/>
      <c r="E49" s="197"/>
      <c r="F49" s="110">
        <f t="shared" ref="F49:G51" si="7">F50</f>
        <v>1013</v>
      </c>
      <c r="G49" s="110">
        <f t="shared" si="7"/>
        <v>0</v>
      </c>
      <c r="H49" s="111">
        <f>G49/F49*100</f>
        <v>0</v>
      </c>
    </row>
    <row r="50" spans="1:8" ht="12.75" customHeight="1" x14ac:dyDescent="0.2">
      <c r="A50" s="112" t="s">
        <v>2</v>
      </c>
      <c r="B50" s="112"/>
      <c r="C50" s="196" t="s">
        <v>354</v>
      </c>
      <c r="D50" s="197"/>
      <c r="E50" s="197"/>
      <c r="F50" s="110">
        <f t="shared" si="7"/>
        <v>1013</v>
      </c>
      <c r="G50" s="110">
        <f t="shared" si="7"/>
        <v>0</v>
      </c>
      <c r="H50" s="111">
        <f>G50/F50*100</f>
        <v>0</v>
      </c>
    </row>
    <row r="51" spans="1:8" ht="12.75" customHeight="1" x14ac:dyDescent="0.2">
      <c r="A51" s="112" t="s">
        <v>162</v>
      </c>
      <c r="B51" s="112"/>
      <c r="C51" s="196" t="s">
        <v>355</v>
      </c>
      <c r="D51" s="197"/>
      <c r="E51" s="197"/>
      <c r="F51" s="110">
        <f t="shared" si="7"/>
        <v>1013</v>
      </c>
      <c r="G51" s="110">
        <f t="shared" si="7"/>
        <v>0</v>
      </c>
      <c r="H51" s="111">
        <f>G51/F51*100</f>
        <v>0</v>
      </c>
    </row>
    <row r="52" spans="1:8" ht="12.75" customHeight="1" x14ac:dyDescent="0.2">
      <c r="A52" s="112" t="s">
        <v>88</v>
      </c>
      <c r="B52" s="112"/>
      <c r="C52" s="196" t="s">
        <v>356</v>
      </c>
      <c r="D52" s="197"/>
      <c r="E52" s="197"/>
      <c r="F52" s="110">
        <v>1013</v>
      </c>
      <c r="G52" s="110">
        <f>G53</f>
        <v>0</v>
      </c>
      <c r="H52" s="111">
        <f>G52/F52*100</f>
        <v>0</v>
      </c>
    </row>
    <row r="53" spans="1:8" ht="12.75" customHeight="1" x14ac:dyDescent="0.2">
      <c r="A53" s="113" t="s">
        <v>91</v>
      </c>
      <c r="B53" s="113" t="s">
        <v>180</v>
      </c>
      <c r="C53" s="198" t="s">
        <v>92</v>
      </c>
      <c r="D53" s="199"/>
      <c r="E53" s="199"/>
      <c r="F53" s="114">
        <v>0</v>
      </c>
      <c r="G53" s="115">
        <v>0</v>
      </c>
      <c r="H53" s="111"/>
    </row>
    <row r="54" spans="1:8" ht="12.75" customHeight="1" x14ac:dyDescent="0.2">
      <c r="A54" s="196" t="s">
        <v>181</v>
      </c>
      <c r="B54" s="197"/>
      <c r="C54" s="197"/>
      <c r="D54" s="197"/>
      <c r="E54" s="197"/>
      <c r="F54" s="110">
        <f>F55+F60+F86+F105+F110+F147+F154+F176</f>
        <v>812297</v>
      </c>
      <c r="G54" s="110">
        <f>G55+G60+G86+G105+G110+G147+G154+G176</f>
        <v>443781.76999999996</v>
      </c>
      <c r="H54" s="111">
        <f>G54/F54*100</f>
        <v>54.632944600312442</v>
      </c>
    </row>
    <row r="55" spans="1:8" ht="12.75" customHeight="1" x14ac:dyDescent="0.2">
      <c r="A55" s="196" t="s">
        <v>160</v>
      </c>
      <c r="B55" s="197"/>
      <c r="C55" s="197"/>
      <c r="D55" s="197"/>
      <c r="E55" s="197"/>
      <c r="F55" s="110">
        <f t="shared" ref="F55:G57" si="8">F56</f>
        <v>0</v>
      </c>
      <c r="G55" s="110">
        <f t="shared" si="8"/>
        <v>0</v>
      </c>
      <c r="H55" s="111"/>
    </row>
    <row r="56" spans="1:8" ht="12.75" customHeight="1" x14ac:dyDescent="0.2">
      <c r="A56" s="112" t="s">
        <v>2</v>
      </c>
      <c r="B56" s="112"/>
      <c r="C56" s="196" t="s">
        <v>354</v>
      </c>
      <c r="D56" s="197"/>
      <c r="E56" s="197"/>
      <c r="F56" s="110">
        <f t="shared" si="8"/>
        <v>0</v>
      </c>
      <c r="G56" s="110">
        <f t="shared" si="8"/>
        <v>0</v>
      </c>
      <c r="H56" s="111"/>
    </row>
    <row r="57" spans="1:8" ht="12.75" customHeight="1" x14ac:dyDescent="0.2">
      <c r="A57" s="112" t="s">
        <v>162</v>
      </c>
      <c r="B57" s="112"/>
      <c r="C57" s="196" t="s">
        <v>355</v>
      </c>
      <c r="D57" s="197"/>
      <c r="E57" s="197"/>
      <c r="F57" s="110">
        <f t="shared" si="8"/>
        <v>0</v>
      </c>
      <c r="G57" s="110">
        <f t="shared" si="8"/>
        <v>0</v>
      </c>
      <c r="H57" s="111"/>
    </row>
    <row r="58" spans="1:8" ht="12.75" customHeight="1" x14ac:dyDescent="0.2">
      <c r="A58" s="112" t="s">
        <v>88</v>
      </c>
      <c r="B58" s="112"/>
      <c r="C58" s="196" t="s">
        <v>356</v>
      </c>
      <c r="D58" s="197"/>
      <c r="E58" s="197"/>
      <c r="F58" s="110">
        <v>0</v>
      </c>
      <c r="G58" s="110">
        <f>G59</f>
        <v>0</v>
      </c>
      <c r="H58" s="111"/>
    </row>
    <row r="59" spans="1:8" x14ac:dyDescent="0.2">
      <c r="A59" s="113" t="s">
        <v>89</v>
      </c>
      <c r="B59" s="113" t="s">
        <v>182</v>
      </c>
      <c r="C59" s="198" t="s">
        <v>90</v>
      </c>
      <c r="D59" s="199"/>
      <c r="E59" s="199"/>
      <c r="F59" s="114">
        <v>0</v>
      </c>
      <c r="G59" s="115">
        <v>0</v>
      </c>
      <c r="H59" s="111"/>
    </row>
    <row r="60" spans="1:8" ht="12.75" customHeight="1" x14ac:dyDescent="0.2">
      <c r="A60" s="196" t="s">
        <v>183</v>
      </c>
      <c r="B60" s="197"/>
      <c r="C60" s="197"/>
      <c r="D60" s="197"/>
      <c r="E60" s="197"/>
      <c r="F60" s="110">
        <f>F61</f>
        <v>44116</v>
      </c>
      <c r="G60" s="110">
        <f>G61</f>
        <v>24688.710000000003</v>
      </c>
      <c r="H60" s="111">
        <f>G60/F60*100</f>
        <v>55.963165291504225</v>
      </c>
    </row>
    <row r="61" spans="1:8" ht="12.75" customHeight="1" x14ac:dyDescent="0.2">
      <c r="A61" s="112" t="s">
        <v>2</v>
      </c>
      <c r="B61" s="112"/>
      <c r="C61" s="196" t="s">
        <v>357</v>
      </c>
      <c r="D61" s="197"/>
      <c r="E61" s="197"/>
      <c r="F61" s="110">
        <f>F82+F62</f>
        <v>44116</v>
      </c>
      <c r="G61" s="110">
        <f>G82+G62</f>
        <v>24688.710000000003</v>
      </c>
      <c r="H61" s="111">
        <f>G61/F61*100</f>
        <v>55.963165291504225</v>
      </c>
    </row>
    <row r="62" spans="1:8" ht="12.75" customHeight="1" x14ac:dyDescent="0.2">
      <c r="A62" s="112" t="s">
        <v>162</v>
      </c>
      <c r="B62" s="112"/>
      <c r="C62" s="196" t="s">
        <v>355</v>
      </c>
      <c r="D62" s="197"/>
      <c r="E62" s="197"/>
      <c r="F62" s="110">
        <f>F63+F66+F72+F79</f>
        <v>42749</v>
      </c>
      <c r="G62" s="110">
        <f>G63+G66+G72+G79</f>
        <v>24219.780000000002</v>
      </c>
      <c r="H62" s="111">
        <f>G62/F62*100</f>
        <v>56.655781421787651</v>
      </c>
    </row>
    <row r="63" spans="1:8" x14ac:dyDescent="0.2">
      <c r="A63" s="112" t="s">
        <v>77</v>
      </c>
      <c r="B63" s="112"/>
      <c r="C63" s="196" t="s">
        <v>358</v>
      </c>
      <c r="D63" s="197"/>
      <c r="E63" s="197"/>
      <c r="F63" s="110">
        <v>3185</v>
      </c>
      <c r="G63" s="121">
        <f>G64+G65</f>
        <v>3132.77</v>
      </c>
      <c r="H63" s="111">
        <f>G63/F63*100</f>
        <v>98.360125588697016</v>
      </c>
    </row>
    <row r="64" spans="1:8" ht="12.75" customHeight="1" x14ac:dyDescent="0.2">
      <c r="A64" s="113" t="s">
        <v>165</v>
      </c>
      <c r="B64" s="113" t="s">
        <v>184</v>
      </c>
      <c r="C64" s="198" t="s">
        <v>167</v>
      </c>
      <c r="D64" s="199"/>
      <c r="E64" s="199"/>
      <c r="F64" s="114"/>
      <c r="G64" s="115">
        <v>3047.27</v>
      </c>
      <c r="H64" s="111"/>
    </row>
    <row r="65" spans="1:8" ht="12.75" customHeight="1" x14ac:dyDescent="0.2">
      <c r="A65" s="113" t="s">
        <v>86</v>
      </c>
      <c r="B65" s="113" t="s">
        <v>185</v>
      </c>
      <c r="C65" s="198" t="s">
        <v>87</v>
      </c>
      <c r="D65" s="199"/>
      <c r="E65" s="199"/>
      <c r="F65" s="114"/>
      <c r="G65" s="115">
        <v>85.5</v>
      </c>
      <c r="H65" s="111"/>
    </row>
    <row r="66" spans="1:8" ht="12.75" customHeight="1" x14ac:dyDescent="0.2">
      <c r="A66" s="112" t="s">
        <v>88</v>
      </c>
      <c r="B66" s="112"/>
      <c r="C66" s="196" t="s">
        <v>356</v>
      </c>
      <c r="D66" s="197"/>
      <c r="E66" s="197"/>
      <c r="F66" s="110">
        <v>19109</v>
      </c>
      <c r="G66" s="121">
        <f>G67+G68+G69+G70+G71</f>
        <v>10235.11</v>
      </c>
      <c r="H66" s="111">
        <f>G66/F66*100</f>
        <v>53.561724841697632</v>
      </c>
    </row>
    <row r="67" spans="1:8" ht="12.75" customHeight="1" x14ac:dyDescent="0.2">
      <c r="A67" s="113" t="s">
        <v>89</v>
      </c>
      <c r="B67" s="113" t="s">
        <v>186</v>
      </c>
      <c r="C67" s="198" t="s">
        <v>90</v>
      </c>
      <c r="D67" s="199"/>
      <c r="E67" s="199"/>
      <c r="F67" s="114"/>
      <c r="G67" s="115">
        <v>2123.0300000000002</v>
      </c>
      <c r="H67" s="111"/>
    </row>
    <row r="68" spans="1:8" ht="12.75" customHeight="1" x14ac:dyDescent="0.2">
      <c r="A68" s="113" t="s">
        <v>93</v>
      </c>
      <c r="B68" s="113" t="s">
        <v>187</v>
      </c>
      <c r="C68" s="198" t="s">
        <v>330</v>
      </c>
      <c r="D68" s="199"/>
      <c r="E68" s="199"/>
      <c r="F68" s="114"/>
      <c r="G68" s="115">
        <v>7083.33</v>
      </c>
      <c r="H68" s="111"/>
    </row>
    <row r="69" spans="1:8" ht="12.75" customHeight="1" x14ac:dyDescent="0.2">
      <c r="A69" s="113" t="s">
        <v>94</v>
      </c>
      <c r="B69" s="113" t="s">
        <v>188</v>
      </c>
      <c r="C69" s="198" t="s">
        <v>95</v>
      </c>
      <c r="D69" s="199"/>
      <c r="E69" s="199"/>
      <c r="F69" s="114"/>
      <c r="G69" s="115">
        <v>894.74</v>
      </c>
      <c r="H69" s="111"/>
    </row>
    <row r="70" spans="1:8" x14ac:dyDescent="0.2">
      <c r="A70" s="113" t="s">
        <v>96</v>
      </c>
      <c r="B70" s="113" t="s">
        <v>189</v>
      </c>
      <c r="C70" s="198" t="s">
        <v>97</v>
      </c>
      <c r="D70" s="199"/>
      <c r="E70" s="199"/>
      <c r="F70" s="114"/>
      <c r="G70" s="115">
        <v>134.01</v>
      </c>
      <c r="H70" s="111"/>
    </row>
    <row r="71" spans="1:8" ht="12.75" customHeight="1" x14ac:dyDescent="0.2">
      <c r="A71" s="113" t="s">
        <v>98</v>
      </c>
      <c r="B71" s="113" t="s">
        <v>190</v>
      </c>
      <c r="C71" s="198" t="s">
        <v>331</v>
      </c>
      <c r="D71" s="199"/>
      <c r="E71" s="199"/>
      <c r="F71" s="114"/>
      <c r="G71" s="115">
        <v>0</v>
      </c>
      <c r="H71" s="111"/>
    </row>
    <row r="72" spans="1:8" x14ac:dyDescent="0.2">
      <c r="A72" s="112" t="s">
        <v>80</v>
      </c>
      <c r="B72" s="112"/>
      <c r="C72" s="196" t="s">
        <v>359</v>
      </c>
      <c r="D72" s="197"/>
      <c r="E72" s="197"/>
      <c r="F72" s="110">
        <v>19260</v>
      </c>
      <c r="G72" s="121">
        <f>G73+G74+G75+G76+G77+G78</f>
        <v>10511.27</v>
      </c>
      <c r="H72" s="111">
        <f>G72/F72*100</f>
        <v>54.575649013499486</v>
      </c>
    </row>
    <row r="73" spans="1:8" x14ac:dyDescent="0.2">
      <c r="A73" s="113" t="s">
        <v>99</v>
      </c>
      <c r="B73" s="113" t="s">
        <v>192</v>
      </c>
      <c r="C73" s="198" t="s">
        <v>100</v>
      </c>
      <c r="D73" s="199"/>
      <c r="E73" s="199"/>
      <c r="F73" s="114"/>
      <c r="G73" s="115">
        <v>1448.7</v>
      </c>
      <c r="H73" s="111"/>
    </row>
    <row r="74" spans="1:8" ht="12.75" customHeight="1" x14ac:dyDescent="0.2">
      <c r="A74" s="113" t="s">
        <v>101</v>
      </c>
      <c r="B74" s="113" t="s">
        <v>193</v>
      </c>
      <c r="C74" s="198" t="s">
        <v>102</v>
      </c>
      <c r="D74" s="199"/>
      <c r="E74" s="199"/>
      <c r="F74" s="114"/>
      <c r="G74" s="115">
        <v>1060</v>
      </c>
      <c r="H74" s="111"/>
    </row>
    <row r="75" spans="1:8" x14ac:dyDescent="0.2">
      <c r="A75" s="113" t="s">
        <v>103</v>
      </c>
      <c r="B75" s="113" t="s">
        <v>194</v>
      </c>
      <c r="C75" s="198" t="s">
        <v>104</v>
      </c>
      <c r="D75" s="199"/>
      <c r="E75" s="199"/>
      <c r="F75" s="114"/>
      <c r="G75" s="115">
        <v>4035.25</v>
      </c>
      <c r="H75" s="111"/>
    </row>
    <row r="76" spans="1:8" ht="12.75" customHeight="1" x14ac:dyDescent="0.2">
      <c r="A76" s="113" t="s">
        <v>81</v>
      </c>
      <c r="B76" s="113" t="s">
        <v>195</v>
      </c>
      <c r="C76" s="198" t="s">
        <v>332</v>
      </c>
      <c r="D76" s="199"/>
      <c r="E76" s="199"/>
      <c r="F76" s="114"/>
      <c r="G76" s="115">
        <v>0</v>
      </c>
      <c r="H76" s="111"/>
    </row>
    <row r="77" spans="1:8" ht="12.75" customHeight="1" x14ac:dyDescent="0.2">
      <c r="A77" s="113" t="s">
        <v>196</v>
      </c>
      <c r="B77" s="113" t="s">
        <v>197</v>
      </c>
      <c r="C77" s="198" t="s">
        <v>198</v>
      </c>
      <c r="D77" s="199"/>
      <c r="E77" s="199"/>
      <c r="F77" s="114"/>
      <c r="G77" s="115">
        <v>1972.97</v>
      </c>
      <c r="H77" s="111"/>
    </row>
    <row r="78" spans="1:8" ht="12.75" customHeight="1" x14ac:dyDescent="0.2">
      <c r="A78" s="113" t="s">
        <v>106</v>
      </c>
      <c r="B78" s="113" t="s">
        <v>199</v>
      </c>
      <c r="C78" s="198" t="s">
        <v>107</v>
      </c>
      <c r="D78" s="199"/>
      <c r="E78" s="199"/>
      <c r="F78" s="114"/>
      <c r="G78" s="115">
        <f>1994.35</f>
        <v>1994.35</v>
      </c>
      <c r="H78" s="111"/>
    </row>
    <row r="79" spans="1:8" ht="12.75" customHeight="1" x14ac:dyDescent="0.2">
      <c r="A79" s="112" t="s">
        <v>108</v>
      </c>
      <c r="B79" s="112"/>
      <c r="C79" s="196" t="s">
        <v>380</v>
      </c>
      <c r="D79" s="197"/>
      <c r="E79" s="197"/>
      <c r="F79" s="110">
        <v>1195</v>
      </c>
      <c r="G79" s="121">
        <f>G80+G81</f>
        <v>340.63</v>
      </c>
      <c r="H79" s="111">
        <f>G79/F79*100</f>
        <v>28.504602510460252</v>
      </c>
    </row>
    <row r="80" spans="1:8" x14ac:dyDescent="0.2">
      <c r="A80" s="113" t="s">
        <v>200</v>
      </c>
      <c r="B80" s="113" t="s">
        <v>201</v>
      </c>
      <c r="C80" s="198" t="s">
        <v>202</v>
      </c>
      <c r="D80" s="199"/>
      <c r="E80" s="199"/>
      <c r="F80" s="114"/>
      <c r="G80" s="115">
        <v>0</v>
      </c>
      <c r="H80" s="111"/>
    </row>
    <row r="81" spans="1:8" ht="12.75" customHeight="1" x14ac:dyDescent="0.2">
      <c r="A81" s="113" t="s">
        <v>111</v>
      </c>
      <c r="B81" s="113" t="s">
        <v>203</v>
      </c>
      <c r="C81" s="198" t="s">
        <v>109</v>
      </c>
      <c r="D81" s="199"/>
      <c r="E81" s="199"/>
      <c r="F81" s="114"/>
      <c r="G81" s="115">
        <v>340.63</v>
      </c>
      <c r="H81" s="111"/>
    </row>
    <row r="82" spans="1:8" ht="12.75" customHeight="1" x14ac:dyDescent="0.2">
      <c r="A82" s="112" t="s">
        <v>204</v>
      </c>
      <c r="B82" s="112"/>
      <c r="C82" s="196" t="s">
        <v>382</v>
      </c>
      <c r="D82" s="197"/>
      <c r="E82" s="197"/>
      <c r="F82" s="110">
        <f>F83</f>
        <v>1367</v>
      </c>
      <c r="G82" s="121">
        <f>G83</f>
        <v>468.93</v>
      </c>
      <c r="H82" s="111">
        <f>G82/F82*100</f>
        <v>34.303584491587422</v>
      </c>
    </row>
    <row r="83" spans="1:8" ht="12.75" customHeight="1" x14ac:dyDescent="0.2">
      <c r="A83" s="112" t="s">
        <v>82</v>
      </c>
      <c r="B83" s="112"/>
      <c r="C83" s="196" t="s">
        <v>383</v>
      </c>
      <c r="D83" s="197"/>
      <c r="E83" s="197"/>
      <c r="F83" s="110">
        <v>1367</v>
      </c>
      <c r="G83" s="121">
        <f>G84+G85</f>
        <v>468.93</v>
      </c>
      <c r="H83" s="111">
        <f>G83/F83*100</f>
        <v>34.303584491587422</v>
      </c>
    </row>
    <row r="84" spans="1:8" ht="12.75" customHeight="1" x14ac:dyDescent="0.2">
      <c r="A84" s="113" t="s">
        <v>207</v>
      </c>
      <c r="B84" s="113" t="s">
        <v>208</v>
      </c>
      <c r="C84" s="198" t="s">
        <v>209</v>
      </c>
      <c r="D84" s="199"/>
      <c r="E84" s="199"/>
      <c r="F84" s="114"/>
      <c r="G84" s="115">
        <v>468.93</v>
      </c>
      <c r="H84" s="111"/>
    </row>
    <row r="85" spans="1:8" ht="12.75" customHeight="1" x14ac:dyDescent="0.2">
      <c r="A85" s="113" t="s">
        <v>210</v>
      </c>
      <c r="B85" s="113" t="s">
        <v>211</v>
      </c>
      <c r="C85" s="198" t="s">
        <v>212</v>
      </c>
      <c r="D85" s="199"/>
      <c r="E85" s="199"/>
      <c r="F85" s="114"/>
      <c r="G85" s="115">
        <v>0</v>
      </c>
      <c r="H85" s="111"/>
    </row>
    <row r="86" spans="1:8" ht="12.75" customHeight="1" x14ac:dyDescent="0.2">
      <c r="A86" s="196" t="s">
        <v>213</v>
      </c>
      <c r="B86" s="197"/>
      <c r="C86" s="197"/>
      <c r="D86" s="197"/>
      <c r="E86" s="197"/>
      <c r="F86" s="110">
        <f>F87+F98</f>
        <v>9775</v>
      </c>
      <c r="G86" s="110">
        <f>G87+G98</f>
        <v>2668.69</v>
      </c>
      <c r="H86" s="111">
        <f>G86/F86*100</f>
        <v>27.301176470588235</v>
      </c>
    </row>
    <row r="87" spans="1:8" ht="12.75" customHeight="1" x14ac:dyDescent="0.2">
      <c r="A87" s="112" t="s">
        <v>2</v>
      </c>
      <c r="B87" s="112"/>
      <c r="C87" s="196" t="s">
        <v>354</v>
      </c>
      <c r="D87" s="197"/>
      <c r="E87" s="197"/>
      <c r="F87" s="110">
        <f>F88+F90+F94</f>
        <v>3430</v>
      </c>
      <c r="G87" s="110">
        <f>G88</f>
        <v>586.14</v>
      </c>
      <c r="H87" s="111">
        <f>G87/F87*100</f>
        <v>17.088629737609327</v>
      </c>
    </row>
    <row r="88" spans="1:8" ht="12.75" customHeight="1" x14ac:dyDescent="0.2">
      <c r="A88" s="112" t="s">
        <v>162</v>
      </c>
      <c r="B88" s="112"/>
      <c r="C88" s="196" t="s">
        <v>366</v>
      </c>
      <c r="D88" s="197"/>
      <c r="E88" s="197"/>
      <c r="F88" s="110">
        <f>F89+F91+F95</f>
        <v>3430</v>
      </c>
      <c r="G88" s="110">
        <f>G89+G91+G95</f>
        <v>586.14</v>
      </c>
      <c r="H88" s="111">
        <f>G88/F88*100</f>
        <v>17.088629737609327</v>
      </c>
    </row>
    <row r="89" spans="1:8" ht="12.75" customHeight="1" x14ac:dyDescent="0.2">
      <c r="A89" s="112" t="s">
        <v>77</v>
      </c>
      <c r="B89" s="112"/>
      <c r="C89" s="196" t="s">
        <v>358</v>
      </c>
      <c r="D89" s="197"/>
      <c r="E89" s="197"/>
      <c r="F89" s="110">
        <v>400</v>
      </c>
      <c r="G89" s="121">
        <f>G90</f>
        <v>0</v>
      </c>
      <c r="H89" s="111">
        <f>G89/F89*100</f>
        <v>0</v>
      </c>
    </row>
    <row r="90" spans="1:8" ht="12.75" customHeight="1" x14ac:dyDescent="0.2">
      <c r="A90" s="113" t="s">
        <v>86</v>
      </c>
      <c r="B90" s="113" t="s">
        <v>214</v>
      </c>
      <c r="C90" s="198" t="s">
        <v>87</v>
      </c>
      <c r="D90" s="199"/>
      <c r="E90" s="199"/>
      <c r="F90" s="114"/>
      <c r="G90" s="115">
        <v>0</v>
      </c>
      <c r="H90" s="111"/>
    </row>
    <row r="91" spans="1:8" ht="12.75" customHeight="1" x14ac:dyDescent="0.2">
      <c r="A91" s="112" t="s">
        <v>88</v>
      </c>
      <c r="B91" s="112"/>
      <c r="C91" s="196" t="s">
        <v>356</v>
      </c>
      <c r="D91" s="197"/>
      <c r="E91" s="197"/>
      <c r="F91" s="110">
        <v>1730</v>
      </c>
      <c r="G91" s="121">
        <f>G92+G93+G94</f>
        <v>244.21</v>
      </c>
      <c r="H91" s="111">
        <f>G91/F91*100</f>
        <v>14.116184971098267</v>
      </c>
    </row>
    <row r="92" spans="1:8" ht="12.75" customHeight="1" x14ac:dyDescent="0.2">
      <c r="A92" s="113" t="s">
        <v>89</v>
      </c>
      <c r="B92" s="113" t="s">
        <v>215</v>
      </c>
      <c r="C92" s="198" t="s">
        <v>90</v>
      </c>
      <c r="D92" s="199"/>
      <c r="E92" s="199"/>
      <c r="F92" s="114"/>
      <c r="G92" s="115">
        <v>82.78</v>
      </c>
      <c r="H92" s="111"/>
    </row>
    <row r="93" spans="1:8" ht="12.75" customHeight="1" x14ac:dyDescent="0.2">
      <c r="A93" s="113" t="s">
        <v>94</v>
      </c>
      <c r="B93" s="113" t="s">
        <v>216</v>
      </c>
      <c r="C93" s="198" t="s">
        <v>95</v>
      </c>
      <c r="D93" s="199"/>
      <c r="E93" s="199"/>
      <c r="F93" s="114"/>
      <c r="G93" s="115">
        <v>0</v>
      </c>
      <c r="H93" s="111"/>
    </row>
    <row r="94" spans="1:8" ht="12.75" customHeight="1" x14ac:dyDescent="0.2">
      <c r="A94" s="113" t="s">
        <v>96</v>
      </c>
      <c r="B94" s="113" t="s">
        <v>217</v>
      </c>
      <c r="C94" s="198" t="s">
        <v>97</v>
      </c>
      <c r="D94" s="199"/>
      <c r="E94" s="199"/>
      <c r="F94" s="114"/>
      <c r="G94" s="115">
        <v>161.43</v>
      </c>
      <c r="H94" s="111"/>
    </row>
    <row r="95" spans="1:8" ht="12.75" customHeight="1" x14ac:dyDescent="0.2">
      <c r="A95" s="112" t="s">
        <v>108</v>
      </c>
      <c r="B95" s="112"/>
      <c r="C95" s="196" t="s">
        <v>380</v>
      </c>
      <c r="D95" s="197"/>
      <c r="E95" s="197"/>
      <c r="F95" s="110">
        <v>1300</v>
      </c>
      <c r="G95" s="121">
        <f>G96+G97</f>
        <v>341.92999999999995</v>
      </c>
      <c r="H95" s="111">
        <f>G95/F95*100</f>
        <v>26.302307692307686</v>
      </c>
    </row>
    <row r="96" spans="1:8" ht="12.75" customHeight="1" x14ac:dyDescent="0.2">
      <c r="A96" s="113" t="s">
        <v>111</v>
      </c>
      <c r="B96" s="113" t="s">
        <v>218</v>
      </c>
      <c r="C96" s="198" t="s">
        <v>109</v>
      </c>
      <c r="D96" s="199"/>
      <c r="E96" s="199"/>
      <c r="F96" s="114"/>
      <c r="G96" s="115">
        <v>208.04</v>
      </c>
      <c r="H96" s="111"/>
    </row>
    <row r="97" spans="1:8" ht="12.75" customHeight="1" x14ac:dyDescent="0.2">
      <c r="A97" s="113" t="s">
        <v>111</v>
      </c>
      <c r="B97" s="113" t="s">
        <v>219</v>
      </c>
      <c r="C97" s="198" t="s">
        <v>463</v>
      </c>
      <c r="D97" s="199"/>
      <c r="E97" s="199"/>
      <c r="F97" s="114"/>
      <c r="G97" s="115">
        <v>133.88999999999999</v>
      </c>
      <c r="H97" s="111"/>
    </row>
    <row r="98" spans="1:8" ht="12.75" customHeight="1" x14ac:dyDescent="0.2">
      <c r="A98" s="112" t="s">
        <v>3</v>
      </c>
      <c r="B98" s="112"/>
      <c r="C98" s="196" t="s">
        <v>367</v>
      </c>
      <c r="D98" s="197"/>
      <c r="E98" s="197"/>
      <c r="F98" s="110">
        <f>F99</f>
        <v>6345</v>
      </c>
      <c r="G98" s="121">
        <f>G99</f>
        <v>2082.5500000000002</v>
      </c>
      <c r="H98" s="111">
        <f>G98/F98*100</f>
        <v>32.821907013396377</v>
      </c>
    </row>
    <row r="99" spans="1:8" x14ac:dyDescent="0.2">
      <c r="A99" s="112" t="s">
        <v>221</v>
      </c>
      <c r="B99" s="112"/>
      <c r="C99" s="196" t="s">
        <v>368</v>
      </c>
      <c r="D99" s="197"/>
      <c r="E99" s="197"/>
      <c r="F99" s="110">
        <f>F100+F103</f>
        <v>6345</v>
      </c>
      <c r="G99" s="121">
        <f>G100+G103</f>
        <v>2082.5500000000002</v>
      </c>
      <c r="H99" s="111">
        <f>G99/F99*100</f>
        <v>32.821907013396377</v>
      </c>
    </row>
    <row r="100" spans="1:8" ht="12.75" customHeight="1" x14ac:dyDescent="0.2">
      <c r="A100" s="112" t="s">
        <v>83</v>
      </c>
      <c r="B100" s="112"/>
      <c r="C100" s="196" t="s">
        <v>369</v>
      </c>
      <c r="D100" s="197"/>
      <c r="E100" s="197"/>
      <c r="F100" s="110">
        <v>5950</v>
      </c>
      <c r="G100" s="121">
        <f>G101+G102</f>
        <v>2082.5500000000002</v>
      </c>
      <c r="H100" s="111">
        <f>G100/F100*100</f>
        <v>35.000840336134459</v>
      </c>
    </row>
    <row r="101" spans="1:8" ht="12.75" customHeight="1" x14ac:dyDescent="0.2">
      <c r="A101" s="113" t="s">
        <v>84</v>
      </c>
      <c r="B101" s="113" t="s">
        <v>224</v>
      </c>
      <c r="C101" s="198" t="s">
        <v>85</v>
      </c>
      <c r="D101" s="199"/>
      <c r="E101" s="199"/>
      <c r="F101" s="114"/>
      <c r="G101" s="115">
        <v>2082.5500000000002</v>
      </c>
      <c r="H101" s="111"/>
    </row>
    <row r="102" spans="1:8" ht="12.75" customHeight="1" x14ac:dyDescent="0.2">
      <c r="A102" s="113" t="s">
        <v>112</v>
      </c>
      <c r="B102" s="113" t="s">
        <v>225</v>
      </c>
      <c r="C102" s="198" t="s">
        <v>333</v>
      </c>
      <c r="D102" s="199"/>
      <c r="E102" s="199"/>
      <c r="F102" s="114"/>
      <c r="G102" s="115">
        <v>0</v>
      </c>
      <c r="H102" s="111"/>
    </row>
    <row r="103" spans="1:8" ht="12.75" customHeight="1" x14ac:dyDescent="0.2">
      <c r="A103" s="112" t="s">
        <v>226</v>
      </c>
      <c r="B103" s="112"/>
      <c r="C103" s="196" t="s">
        <v>370</v>
      </c>
      <c r="D103" s="197"/>
      <c r="E103" s="197"/>
      <c r="F103" s="110">
        <v>395</v>
      </c>
      <c r="G103" s="121">
        <f>G104</f>
        <v>0</v>
      </c>
      <c r="H103" s="111">
        <f>G103/F103*100</f>
        <v>0</v>
      </c>
    </row>
    <row r="104" spans="1:8" ht="12.75" customHeight="1" x14ac:dyDescent="0.2">
      <c r="A104" s="113" t="s">
        <v>228</v>
      </c>
      <c r="B104" s="113" t="s">
        <v>334</v>
      </c>
      <c r="C104" s="198" t="s">
        <v>229</v>
      </c>
      <c r="D104" s="199"/>
      <c r="E104" s="199"/>
      <c r="F104" s="114"/>
      <c r="G104" s="115">
        <v>0</v>
      </c>
      <c r="H104" s="111"/>
    </row>
    <row r="105" spans="1:8" ht="12.75" customHeight="1" x14ac:dyDescent="0.2">
      <c r="A105" s="196" t="s">
        <v>173</v>
      </c>
      <c r="B105" s="197"/>
      <c r="C105" s="197"/>
      <c r="D105" s="197"/>
      <c r="E105" s="197"/>
      <c r="F105" s="110">
        <f t="shared" ref="F105:G107" si="9">F106</f>
        <v>3000</v>
      </c>
      <c r="G105" s="110">
        <f t="shared" si="9"/>
        <v>1280.8</v>
      </c>
      <c r="H105" s="111"/>
    </row>
    <row r="106" spans="1:8" ht="12.75" customHeight="1" x14ac:dyDescent="0.2">
      <c r="A106" s="112" t="s">
        <v>2</v>
      </c>
      <c r="B106" s="112"/>
      <c r="C106" s="196" t="s">
        <v>354</v>
      </c>
      <c r="D106" s="197"/>
      <c r="E106" s="197"/>
      <c r="F106" s="110">
        <f t="shared" si="9"/>
        <v>3000</v>
      </c>
      <c r="G106" s="110">
        <f t="shared" si="9"/>
        <v>1280.8</v>
      </c>
      <c r="H106" s="111"/>
    </row>
    <row r="107" spans="1:8" ht="12.75" customHeight="1" x14ac:dyDescent="0.2">
      <c r="A107" s="112" t="s">
        <v>162</v>
      </c>
      <c r="B107" s="112"/>
      <c r="C107" s="196" t="s">
        <v>355</v>
      </c>
      <c r="D107" s="197"/>
      <c r="E107" s="197"/>
      <c r="F107" s="110">
        <f t="shared" si="9"/>
        <v>3000</v>
      </c>
      <c r="G107" s="110">
        <f t="shared" si="9"/>
        <v>1280.8</v>
      </c>
      <c r="H107" s="111"/>
    </row>
    <row r="108" spans="1:8" ht="12.75" customHeight="1" x14ac:dyDescent="0.2">
      <c r="A108" s="112" t="s">
        <v>108</v>
      </c>
      <c r="B108" s="112"/>
      <c r="C108" s="196" t="s">
        <v>380</v>
      </c>
      <c r="D108" s="197"/>
      <c r="E108" s="197"/>
      <c r="F108" s="110">
        <v>3000</v>
      </c>
      <c r="G108" s="121">
        <f>G109</f>
        <v>1280.8</v>
      </c>
      <c r="H108" s="111"/>
    </row>
    <row r="109" spans="1:8" x14ac:dyDescent="0.2">
      <c r="A109" s="113" t="s">
        <v>111</v>
      </c>
      <c r="B109" s="113" t="s">
        <v>230</v>
      </c>
      <c r="C109" s="198" t="s">
        <v>464</v>
      </c>
      <c r="D109" s="199"/>
      <c r="E109" s="199"/>
      <c r="F109" s="114"/>
      <c r="G109" s="115">
        <v>1280.8</v>
      </c>
      <c r="H109" s="111"/>
    </row>
    <row r="110" spans="1:8" ht="12.75" customHeight="1" x14ac:dyDescent="0.2">
      <c r="A110" s="196" t="s">
        <v>236</v>
      </c>
      <c r="B110" s="197"/>
      <c r="C110" s="197"/>
      <c r="D110" s="197"/>
      <c r="E110" s="197"/>
      <c r="F110" s="110">
        <f>F143+F111</f>
        <v>746181</v>
      </c>
      <c r="G110" s="121">
        <f>G111+G143</f>
        <v>410797.02999999997</v>
      </c>
      <c r="H110" s="111">
        <f>G110/F110*100</f>
        <v>55.053268576927039</v>
      </c>
    </row>
    <row r="111" spans="1:8" ht="12.75" customHeight="1" x14ac:dyDescent="0.2">
      <c r="A111" s="112" t="s">
        <v>2</v>
      </c>
      <c r="B111" s="112"/>
      <c r="C111" s="196" t="s">
        <v>354</v>
      </c>
      <c r="D111" s="197"/>
      <c r="E111" s="197"/>
      <c r="F111" s="110">
        <f>F112+F121+F137+F135</f>
        <v>743526</v>
      </c>
      <c r="G111" s="121">
        <f>G112+G121+G135+G137+G140</f>
        <v>410797.02999999997</v>
      </c>
      <c r="H111" s="111">
        <f>G111/F111*100</f>
        <v>55.249854073697492</v>
      </c>
    </row>
    <row r="112" spans="1:8" ht="12.75" customHeight="1" x14ac:dyDescent="0.2">
      <c r="A112" s="112" t="s">
        <v>237</v>
      </c>
      <c r="B112" s="112"/>
      <c r="C112" s="196" t="s">
        <v>384</v>
      </c>
      <c r="D112" s="197"/>
      <c r="E112" s="197"/>
      <c r="F112" s="110">
        <f>F113+F116+F118</f>
        <v>692921</v>
      </c>
      <c r="G112" s="121">
        <f>G113+G116+G118</f>
        <v>385728.23</v>
      </c>
      <c r="H112" s="111">
        <f>G112/F112*100</f>
        <v>55.666985125288448</v>
      </c>
    </row>
    <row r="113" spans="1:8" ht="12.75" customHeight="1" x14ac:dyDescent="0.2">
      <c r="A113" s="112" t="s">
        <v>68</v>
      </c>
      <c r="B113" s="112"/>
      <c r="C113" s="196" t="s">
        <v>385</v>
      </c>
      <c r="D113" s="197"/>
      <c r="E113" s="197"/>
      <c r="F113" s="110">
        <v>570710</v>
      </c>
      <c r="G113" s="121">
        <f>G114+G115</f>
        <v>319651.09999999998</v>
      </c>
      <c r="H113" s="111">
        <f>G113/F113*100</f>
        <v>56.009374288167365</v>
      </c>
    </row>
    <row r="114" spans="1:8" ht="12.75" customHeight="1" x14ac:dyDescent="0.2">
      <c r="A114" s="113" t="s">
        <v>69</v>
      </c>
      <c r="B114" s="113" t="s">
        <v>240</v>
      </c>
      <c r="C114" s="198" t="s">
        <v>70</v>
      </c>
      <c r="D114" s="199"/>
      <c r="E114" s="199"/>
      <c r="F114" s="114"/>
      <c r="G114" s="115">
        <v>318976.48</v>
      </c>
      <c r="H114" s="111"/>
    </row>
    <row r="115" spans="1:8" ht="12.75" customHeight="1" x14ac:dyDescent="0.2">
      <c r="A115" s="122">
        <v>3113</v>
      </c>
      <c r="B115" s="113"/>
      <c r="C115" s="198" t="s">
        <v>459</v>
      </c>
      <c r="D115" s="199"/>
      <c r="E115" s="199"/>
      <c r="F115" s="114"/>
      <c r="G115" s="115">
        <v>674.62</v>
      </c>
      <c r="H115" s="111"/>
    </row>
    <row r="116" spans="1:8" ht="12.75" customHeight="1" x14ac:dyDescent="0.2">
      <c r="A116" s="112" t="s">
        <v>71</v>
      </c>
      <c r="B116" s="112"/>
      <c r="C116" s="196" t="s">
        <v>386</v>
      </c>
      <c r="D116" s="197"/>
      <c r="E116" s="197"/>
      <c r="F116" s="110">
        <v>26545</v>
      </c>
      <c r="G116" s="121">
        <f>G117</f>
        <v>13007.17</v>
      </c>
      <c r="H116" s="111">
        <f>G116/F116*100</f>
        <v>49.000452062535317</v>
      </c>
    </row>
    <row r="117" spans="1:8" ht="12.75" customHeight="1" x14ac:dyDescent="0.2">
      <c r="A117" s="113" t="s">
        <v>73</v>
      </c>
      <c r="B117" s="113" t="s">
        <v>242</v>
      </c>
      <c r="C117" s="198" t="s">
        <v>72</v>
      </c>
      <c r="D117" s="199"/>
      <c r="E117" s="199"/>
      <c r="F117" s="114"/>
      <c r="G117" s="115">
        <f>382.86+1061.79+342.72+10999.08+220.72</f>
        <v>13007.17</v>
      </c>
      <c r="H117" s="111"/>
    </row>
    <row r="118" spans="1:8" x14ac:dyDescent="0.2">
      <c r="A118" s="112" t="s">
        <v>74</v>
      </c>
      <c r="B118" s="112" t="s">
        <v>373</v>
      </c>
      <c r="C118" s="196" t="s">
        <v>387</v>
      </c>
      <c r="D118" s="197"/>
      <c r="E118" s="197"/>
      <c r="F118" s="110">
        <v>95666</v>
      </c>
      <c r="G118" s="121">
        <f>G119+G120</f>
        <v>53069.96</v>
      </c>
      <c r="H118" s="111">
        <f>G118/F118*100</f>
        <v>55.474212363849226</v>
      </c>
    </row>
    <row r="119" spans="1:8" x14ac:dyDescent="0.2">
      <c r="A119" s="113" t="s">
        <v>75</v>
      </c>
      <c r="B119" s="113" t="s">
        <v>244</v>
      </c>
      <c r="C119" s="198" t="s">
        <v>76</v>
      </c>
      <c r="D119" s="199"/>
      <c r="E119" s="199"/>
      <c r="F119" s="114"/>
      <c r="G119" s="115">
        <f>53055.09+11.48</f>
        <v>53066.57</v>
      </c>
      <c r="H119" s="111"/>
    </row>
    <row r="120" spans="1:8" ht="12.75" customHeight="1" x14ac:dyDescent="0.2">
      <c r="A120" s="113">
        <v>3133</v>
      </c>
      <c r="B120" s="113" t="s">
        <v>373</v>
      </c>
      <c r="C120" s="198" t="s">
        <v>374</v>
      </c>
      <c r="D120" s="199"/>
      <c r="E120" s="199"/>
      <c r="F120" s="114"/>
      <c r="G120" s="115">
        <v>3.39</v>
      </c>
      <c r="H120" s="111"/>
    </row>
    <row r="121" spans="1:8" ht="12.75" customHeight="1" x14ac:dyDescent="0.2">
      <c r="A121" s="112" t="s">
        <v>162</v>
      </c>
      <c r="B121" s="112"/>
      <c r="C121" s="196" t="s">
        <v>355</v>
      </c>
      <c r="D121" s="197"/>
      <c r="E121" s="197"/>
      <c r="F121" s="110">
        <f>F122+F126+F128+F132</f>
        <v>41155</v>
      </c>
      <c r="G121" s="121">
        <f>G122+G126+G128+G132</f>
        <v>24222.02</v>
      </c>
      <c r="H121" s="111">
        <f>G121/F121*100</f>
        <v>58.855594702952253</v>
      </c>
    </row>
    <row r="122" spans="1:8" ht="12.75" customHeight="1" x14ac:dyDescent="0.2">
      <c r="A122" s="112" t="s">
        <v>77</v>
      </c>
      <c r="B122" s="112"/>
      <c r="C122" s="196" t="s">
        <v>388</v>
      </c>
      <c r="D122" s="197"/>
      <c r="E122" s="197"/>
      <c r="F122" s="110">
        <v>38200</v>
      </c>
      <c r="G122" s="121">
        <f>G123+G124+G125</f>
        <v>22837.68</v>
      </c>
      <c r="H122" s="111">
        <f>G122/F122*100</f>
        <v>59.784502617801053</v>
      </c>
    </row>
    <row r="123" spans="1:8" ht="12.75" customHeight="1" x14ac:dyDescent="0.2">
      <c r="A123" s="113" t="s">
        <v>165</v>
      </c>
      <c r="B123" s="113" t="s">
        <v>245</v>
      </c>
      <c r="C123" s="198" t="s">
        <v>167</v>
      </c>
      <c r="D123" s="199"/>
      <c r="E123" s="199"/>
      <c r="F123" s="114"/>
      <c r="G123" s="115">
        <f>14.4+44.8</f>
        <v>59.199999999999996</v>
      </c>
      <c r="H123" s="111"/>
    </row>
    <row r="124" spans="1:8" ht="12.75" customHeight="1" x14ac:dyDescent="0.2">
      <c r="A124" s="113" t="s">
        <v>165</v>
      </c>
      <c r="B124" s="113" t="s">
        <v>335</v>
      </c>
      <c r="C124" s="198" t="s">
        <v>167</v>
      </c>
      <c r="D124" s="199"/>
      <c r="E124" s="199"/>
      <c r="F124" s="114"/>
      <c r="G124" s="115">
        <v>0</v>
      </c>
      <c r="H124" s="111"/>
    </row>
    <row r="125" spans="1:8" ht="12.75" customHeight="1" x14ac:dyDescent="0.2">
      <c r="A125" s="113" t="s">
        <v>78</v>
      </c>
      <c r="B125" s="113" t="s">
        <v>246</v>
      </c>
      <c r="C125" s="198" t="s">
        <v>79</v>
      </c>
      <c r="D125" s="199"/>
      <c r="E125" s="199"/>
      <c r="F125" s="114"/>
      <c r="G125" s="115">
        <v>22778.48</v>
      </c>
      <c r="H125" s="111"/>
    </row>
    <row r="126" spans="1:8" x14ac:dyDescent="0.2">
      <c r="A126" s="112" t="s">
        <v>88</v>
      </c>
      <c r="B126" s="112"/>
      <c r="C126" s="196" t="s">
        <v>381</v>
      </c>
      <c r="D126" s="197"/>
      <c r="E126" s="197"/>
      <c r="F126" s="110">
        <v>200</v>
      </c>
      <c r="G126" s="121">
        <f>G127</f>
        <v>0</v>
      </c>
      <c r="H126" s="111">
        <f>G126/F126*100</f>
        <v>0</v>
      </c>
    </row>
    <row r="127" spans="1:8" ht="12.75" customHeight="1" x14ac:dyDescent="0.2">
      <c r="A127" s="113" t="s">
        <v>89</v>
      </c>
      <c r="B127" s="113" t="s">
        <v>247</v>
      </c>
      <c r="C127" s="198" t="s">
        <v>90</v>
      </c>
      <c r="D127" s="199"/>
      <c r="E127" s="199"/>
      <c r="F127" s="114"/>
      <c r="G127" s="115">
        <v>0</v>
      </c>
      <c r="H127" s="111"/>
    </row>
    <row r="128" spans="1:8" x14ac:dyDescent="0.2">
      <c r="A128" s="112" t="s">
        <v>80</v>
      </c>
      <c r="B128" s="112"/>
      <c r="C128" s="196" t="s">
        <v>389</v>
      </c>
      <c r="D128" s="197"/>
      <c r="E128" s="197"/>
      <c r="F128" s="110">
        <v>790</v>
      </c>
      <c r="G128" s="121">
        <f>G129+G130+G131</f>
        <v>0</v>
      </c>
      <c r="H128" s="111">
        <f>G128/F128*100</f>
        <v>0</v>
      </c>
    </row>
    <row r="129" spans="1:8" x14ac:dyDescent="0.2">
      <c r="A129" s="113" t="s">
        <v>99</v>
      </c>
      <c r="B129" s="113" t="s">
        <v>336</v>
      </c>
      <c r="C129" s="198" t="s">
        <v>100</v>
      </c>
      <c r="D129" s="199"/>
      <c r="E129" s="199"/>
      <c r="F129" s="114"/>
      <c r="G129" s="115">
        <v>0</v>
      </c>
      <c r="H129" s="111"/>
    </row>
    <row r="130" spans="1:8" x14ac:dyDescent="0.2">
      <c r="A130" s="113" t="s">
        <v>105</v>
      </c>
      <c r="B130" s="113" t="s">
        <v>248</v>
      </c>
      <c r="C130" s="198" t="s">
        <v>337</v>
      </c>
      <c r="D130" s="199"/>
      <c r="E130" s="199"/>
      <c r="F130" s="114"/>
      <c r="G130" s="115">
        <v>0</v>
      </c>
      <c r="H130" s="111"/>
    </row>
    <row r="131" spans="1:8" ht="12.75" customHeight="1" x14ac:dyDescent="0.2">
      <c r="A131" s="113" t="s">
        <v>106</v>
      </c>
      <c r="B131" s="113" t="s">
        <v>338</v>
      </c>
      <c r="C131" s="198" t="s">
        <v>107</v>
      </c>
      <c r="D131" s="199"/>
      <c r="E131" s="199"/>
      <c r="F131" s="114"/>
      <c r="G131" s="115">
        <v>0</v>
      </c>
      <c r="H131" s="111"/>
    </row>
    <row r="132" spans="1:8" ht="12.75" customHeight="1" x14ac:dyDescent="0.2">
      <c r="A132" s="112" t="s">
        <v>108</v>
      </c>
      <c r="B132" s="112"/>
      <c r="C132" s="196" t="s">
        <v>380</v>
      </c>
      <c r="D132" s="197"/>
      <c r="E132" s="197"/>
      <c r="F132" s="110">
        <v>1965</v>
      </c>
      <c r="G132" s="121">
        <f>G133+G134</f>
        <v>1384.34</v>
      </c>
      <c r="H132" s="111">
        <f>G132/F132*100</f>
        <v>70.449872773536896</v>
      </c>
    </row>
    <row r="133" spans="1:8" ht="12.75" customHeight="1" x14ac:dyDescent="0.2">
      <c r="A133" s="113" t="s">
        <v>110</v>
      </c>
      <c r="B133" s="113" t="s">
        <v>249</v>
      </c>
      <c r="C133" s="198" t="s">
        <v>339</v>
      </c>
      <c r="D133" s="199"/>
      <c r="E133" s="199"/>
      <c r="F133" s="114"/>
      <c r="G133" s="115">
        <v>824.43</v>
      </c>
      <c r="H133" s="111"/>
    </row>
    <row r="134" spans="1:8" ht="12.75" customHeight="1" x14ac:dyDescent="0.2">
      <c r="A134" s="113">
        <v>3296</v>
      </c>
      <c r="B134" s="113" t="s">
        <v>375</v>
      </c>
      <c r="C134" s="198" t="s">
        <v>376</v>
      </c>
      <c r="D134" s="199"/>
      <c r="E134" s="199"/>
      <c r="F134" s="114"/>
      <c r="G134" s="115">
        <v>559.91</v>
      </c>
      <c r="H134" s="111"/>
    </row>
    <row r="135" spans="1:8" ht="12.75" customHeight="1" x14ac:dyDescent="0.2">
      <c r="A135" s="123">
        <v>34</v>
      </c>
      <c r="B135" s="112"/>
      <c r="C135" s="200" t="s">
        <v>371</v>
      </c>
      <c r="D135" s="194"/>
      <c r="E135" s="194"/>
      <c r="F135" s="110">
        <v>150</v>
      </c>
      <c r="G135" s="121">
        <f>G136</f>
        <v>297.35000000000002</v>
      </c>
      <c r="H135" s="111">
        <f>G135/F135*100</f>
        <v>198.23333333333335</v>
      </c>
    </row>
    <row r="136" spans="1:8" ht="12.75" customHeight="1" x14ac:dyDescent="0.2">
      <c r="A136" s="122">
        <v>3433</v>
      </c>
      <c r="B136" s="113" t="s">
        <v>372</v>
      </c>
      <c r="C136" s="124" t="s">
        <v>212</v>
      </c>
      <c r="D136" s="119"/>
      <c r="E136" s="119"/>
      <c r="F136" s="114"/>
      <c r="G136" s="115">
        <v>297.35000000000002</v>
      </c>
      <c r="H136" s="111"/>
    </row>
    <row r="137" spans="1:8" x14ac:dyDescent="0.2">
      <c r="A137" s="112" t="s">
        <v>250</v>
      </c>
      <c r="B137" s="112"/>
      <c r="C137" s="196" t="s">
        <v>390</v>
      </c>
      <c r="D137" s="197"/>
      <c r="E137" s="197"/>
      <c r="F137" s="110">
        <f>F138</f>
        <v>9300</v>
      </c>
      <c r="G137" s="121">
        <f>G138</f>
        <v>9.49</v>
      </c>
      <c r="H137" s="111">
        <f>G137/F137*100</f>
        <v>0.10204301075268818</v>
      </c>
    </row>
    <row r="138" spans="1:8" ht="12.75" customHeight="1" x14ac:dyDescent="0.2">
      <c r="A138" s="112" t="s">
        <v>252</v>
      </c>
      <c r="B138" s="112"/>
      <c r="C138" s="196" t="s">
        <v>391</v>
      </c>
      <c r="D138" s="197"/>
      <c r="E138" s="197"/>
      <c r="F138" s="110">
        <v>9300</v>
      </c>
      <c r="G138" s="121">
        <f>G139</f>
        <v>9.49</v>
      </c>
      <c r="H138" s="111">
        <f>G138/F138*100</f>
        <v>0.10204301075268818</v>
      </c>
    </row>
    <row r="139" spans="1:8" ht="12.75" customHeight="1" x14ac:dyDescent="0.2">
      <c r="A139" s="113" t="s">
        <v>254</v>
      </c>
      <c r="B139" s="113" t="s">
        <v>340</v>
      </c>
      <c r="C139" s="198" t="s">
        <v>341</v>
      </c>
      <c r="D139" s="199"/>
      <c r="E139" s="199"/>
      <c r="F139" s="114"/>
      <c r="G139" s="115">
        <v>9.49</v>
      </c>
      <c r="H139" s="111"/>
    </row>
    <row r="140" spans="1:8" ht="12.75" customHeight="1" x14ac:dyDescent="0.2">
      <c r="A140" s="123">
        <v>38</v>
      </c>
      <c r="B140" s="112"/>
      <c r="C140" s="196" t="s">
        <v>296</v>
      </c>
      <c r="D140" s="197"/>
      <c r="E140" s="197"/>
      <c r="F140" s="110">
        <f>F141</f>
        <v>9300</v>
      </c>
      <c r="G140" s="121">
        <f>G141</f>
        <v>539.94000000000005</v>
      </c>
      <c r="H140" s="111">
        <f>G140/F140*100</f>
        <v>5.8058064516129031</v>
      </c>
    </row>
    <row r="141" spans="1:8" ht="12.75" customHeight="1" x14ac:dyDescent="0.2">
      <c r="A141" s="123">
        <v>381</v>
      </c>
      <c r="B141" s="112"/>
      <c r="C141" s="196" t="s">
        <v>460</v>
      </c>
      <c r="D141" s="197"/>
      <c r="E141" s="197"/>
      <c r="F141" s="110">
        <v>9300</v>
      </c>
      <c r="G141" s="121">
        <f>G142</f>
        <v>539.94000000000005</v>
      </c>
      <c r="H141" s="111">
        <f>G141/F141*100</f>
        <v>5.8058064516129031</v>
      </c>
    </row>
    <row r="142" spans="1:8" ht="12.75" customHeight="1" x14ac:dyDescent="0.2">
      <c r="A142" s="122">
        <v>3812</v>
      </c>
      <c r="B142" s="113" t="s">
        <v>461</v>
      </c>
      <c r="C142" s="198" t="s">
        <v>460</v>
      </c>
      <c r="D142" s="199"/>
      <c r="E142" s="199"/>
      <c r="F142" s="114"/>
      <c r="G142" s="115">
        <v>539.94000000000005</v>
      </c>
      <c r="H142" s="111"/>
    </row>
    <row r="143" spans="1:8" ht="12.75" customHeight="1" x14ac:dyDescent="0.2">
      <c r="A143" s="112" t="s">
        <v>3</v>
      </c>
      <c r="B143" s="112"/>
      <c r="C143" s="196" t="s">
        <v>367</v>
      </c>
      <c r="D143" s="197"/>
      <c r="E143" s="197"/>
      <c r="F143" s="110">
        <f>F144</f>
        <v>2655</v>
      </c>
      <c r="G143" s="121">
        <f>G144</f>
        <v>0</v>
      </c>
      <c r="H143" s="111">
        <f>G143/F143*100</f>
        <v>0</v>
      </c>
    </row>
    <row r="144" spans="1:8" x14ac:dyDescent="0.2">
      <c r="A144" s="112" t="s">
        <v>221</v>
      </c>
      <c r="B144" s="112"/>
      <c r="C144" s="196" t="s">
        <v>392</v>
      </c>
      <c r="D144" s="197"/>
      <c r="E144" s="197"/>
      <c r="F144" s="110">
        <f>F145</f>
        <v>2655</v>
      </c>
      <c r="G144" s="121">
        <f>G145</f>
        <v>0</v>
      </c>
      <c r="H144" s="111">
        <f>G144/F144*100</f>
        <v>0</v>
      </c>
    </row>
    <row r="145" spans="1:8" ht="12.75" customHeight="1" x14ac:dyDescent="0.2">
      <c r="A145" s="112" t="s">
        <v>226</v>
      </c>
      <c r="B145" s="112"/>
      <c r="C145" s="196" t="s">
        <v>370</v>
      </c>
      <c r="D145" s="197"/>
      <c r="E145" s="197"/>
      <c r="F145" s="110">
        <v>2655</v>
      </c>
      <c r="G145" s="121">
        <f>G146</f>
        <v>0</v>
      </c>
      <c r="H145" s="111">
        <f>G145/F145*100</f>
        <v>0</v>
      </c>
    </row>
    <row r="146" spans="1:8" ht="12.75" customHeight="1" x14ac:dyDescent="0.2">
      <c r="A146" s="113" t="s">
        <v>228</v>
      </c>
      <c r="B146" s="113" t="s">
        <v>255</v>
      </c>
      <c r="C146" s="198" t="s">
        <v>229</v>
      </c>
      <c r="D146" s="199"/>
      <c r="E146" s="199"/>
      <c r="F146" s="114"/>
      <c r="G146" s="115">
        <v>0</v>
      </c>
      <c r="H146" s="111"/>
    </row>
    <row r="147" spans="1:8" ht="12.75" customHeight="1" x14ac:dyDescent="0.2">
      <c r="A147" s="196" t="s">
        <v>256</v>
      </c>
      <c r="B147" s="197"/>
      <c r="C147" s="197"/>
      <c r="D147" s="197"/>
      <c r="E147" s="197"/>
      <c r="F147" s="110">
        <f>F148</f>
        <v>0</v>
      </c>
      <c r="G147" s="121">
        <f>G148</f>
        <v>0</v>
      </c>
      <c r="H147" s="111"/>
    </row>
    <row r="148" spans="1:8" ht="12.75" customHeight="1" x14ac:dyDescent="0.2">
      <c r="A148" s="112" t="s">
        <v>3</v>
      </c>
      <c r="B148" s="112"/>
      <c r="C148" s="196" t="s">
        <v>393</v>
      </c>
      <c r="D148" s="197"/>
      <c r="E148" s="197"/>
      <c r="F148" s="110">
        <f>F149</f>
        <v>0</v>
      </c>
      <c r="G148" s="121">
        <f>G149</f>
        <v>0</v>
      </c>
      <c r="H148" s="111"/>
    </row>
    <row r="149" spans="1:8" x14ac:dyDescent="0.2">
      <c r="A149" s="112" t="s">
        <v>221</v>
      </c>
      <c r="B149" s="112"/>
      <c r="C149" s="196" t="s">
        <v>392</v>
      </c>
      <c r="D149" s="197"/>
      <c r="E149" s="197"/>
      <c r="F149" s="110">
        <f>F150</f>
        <v>0</v>
      </c>
      <c r="G149" s="121">
        <f>G150+G152</f>
        <v>0</v>
      </c>
      <c r="H149" s="111"/>
    </row>
    <row r="150" spans="1:8" x14ac:dyDescent="0.2">
      <c r="A150" s="112" t="s">
        <v>83</v>
      </c>
      <c r="B150" s="112"/>
      <c r="C150" s="196" t="s">
        <v>223</v>
      </c>
      <c r="D150" s="197"/>
      <c r="E150" s="197"/>
      <c r="F150" s="110">
        <v>0</v>
      </c>
      <c r="G150" s="121">
        <f>G151</f>
        <v>0</v>
      </c>
      <c r="H150" s="111"/>
    </row>
    <row r="151" spans="1:8" ht="12.75" customHeight="1" x14ac:dyDescent="0.2">
      <c r="A151" s="113" t="s">
        <v>84</v>
      </c>
      <c r="B151" s="113" t="s">
        <v>342</v>
      </c>
      <c r="C151" s="198" t="s">
        <v>85</v>
      </c>
      <c r="D151" s="199"/>
      <c r="E151" s="199"/>
      <c r="F151" s="114"/>
      <c r="G151" s="115">
        <v>0</v>
      </c>
      <c r="H151" s="111"/>
    </row>
    <row r="152" spans="1:8" ht="12.75" customHeight="1" x14ac:dyDescent="0.2">
      <c r="A152" s="112" t="s">
        <v>226</v>
      </c>
      <c r="B152" s="112"/>
      <c r="C152" s="196" t="s">
        <v>394</v>
      </c>
      <c r="D152" s="197"/>
      <c r="E152" s="197"/>
      <c r="F152" s="110">
        <v>0</v>
      </c>
      <c r="G152" s="121">
        <f>G153</f>
        <v>0</v>
      </c>
      <c r="H152" s="111"/>
    </row>
    <row r="153" spans="1:8" ht="12.75" customHeight="1" x14ac:dyDescent="0.2">
      <c r="A153" s="113" t="s">
        <v>228</v>
      </c>
      <c r="B153" s="113" t="s">
        <v>343</v>
      </c>
      <c r="C153" s="198" t="s">
        <v>229</v>
      </c>
      <c r="D153" s="199"/>
      <c r="E153" s="199"/>
      <c r="F153" s="114"/>
      <c r="G153" s="115">
        <v>0</v>
      </c>
      <c r="H153" s="111"/>
    </row>
    <row r="154" spans="1:8" ht="12.75" customHeight="1" x14ac:dyDescent="0.2">
      <c r="A154" s="196" t="s">
        <v>179</v>
      </c>
      <c r="B154" s="197"/>
      <c r="C154" s="197"/>
      <c r="D154" s="197"/>
      <c r="E154" s="197"/>
      <c r="F154" s="110">
        <f>F155+F171</f>
        <v>9010</v>
      </c>
      <c r="G154" s="110">
        <f>G155+G171</f>
        <v>4346.54</v>
      </c>
      <c r="H154" s="111">
        <f>G154/F154*100</f>
        <v>48.241287458379581</v>
      </c>
    </row>
    <row r="155" spans="1:8" ht="12.75" customHeight="1" x14ac:dyDescent="0.2">
      <c r="A155" s="112" t="s">
        <v>2</v>
      </c>
      <c r="B155" s="112"/>
      <c r="C155" s="196" t="s">
        <v>354</v>
      </c>
      <c r="D155" s="197"/>
      <c r="E155" s="197"/>
      <c r="F155" s="110">
        <f>F156+F168</f>
        <v>8610</v>
      </c>
      <c r="G155" s="110">
        <f>G156+G168</f>
        <v>4346.54</v>
      </c>
      <c r="H155" s="111">
        <f>G155/F155*100</f>
        <v>50.482462253193958</v>
      </c>
    </row>
    <row r="156" spans="1:8" ht="12.75" customHeight="1" x14ac:dyDescent="0.2">
      <c r="A156" s="112" t="s">
        <v>162</v>
      </c>
      <c r="B156" s="112"/>
      <c r="C156" s="196" t="s">
        <v>355</v>
      </c>
      <c r="D156" s="197"/>
      <c r="E156" s="197"/>
      <c r="F156" s="110">
        <f>F157+F160+F163+F165+F168</f>
        <v>8610</v>
      </c>
      <c r="G156" s="110">
        <f>G157+G160+G163+G165+G168</f>
        <v>4346.54</v>
      </c>
      <c r="H156" s="111">
        <f>G156/F156*100</f>
        <v>50.482462253193958</v>
      </c>
    </row>
    <row r="157" spans="1:8" ht="12.75" customHeight="1" x14ac:dyDescent="0.2">
      <c r="A157" s="112" t="s">
        <v>77</v>
      </c>
      <c r="B157" s="112"/>
      <c r="C157" s="196" t="s">
        <v>388</v>
      </c>
      <c r="D157" s="197"/>
      <c r="E157" s="197"/>
      <c r="F157" s="110">
        <v>930</v>
      </c>
      <c r="G157" s="110">
        <f>G158+G159</f>
        <v>249.43</v>
      </c>
      <c r="H157" s="111">
        <f>G157/F157*100</f>
        <v>26.820430107526882</v>
      </c>
    </row>
    <row r="158" spans="1:8" ht="12.75" customHeight="1" x14ac:dyDescent="0.2">
      <c r="A158" s="113" t="s">
        <v>165</v>
      </c>
      <c r="B158" s="113" t="s">
        <v>257</v>
      </c>
      <c r="C158" s="198" t="s">
        <v>167</v>
      </c>
      <c r="D158" s="199"/>
      <c r="E158" s="199"/>
      <c r="F158" s="114"/>
      <c r="G158" s="114">
        <v>249.43</v>
      </c>
      <c r="H158" s="111"/>
    </row>
    <row r="159" spans="1:8" ht="12.75" customHeight="1" x14ac:dyDescent="0.2">
      <c r="A159" s="113" t="s">
        <v>165</v>
      </c>
      <c r="B159" s="113" t="s">
        <v>344</v>
      </c>
      <c r="C159" s="198" t="s">
        <v>167</v>
      </c>
      <c r="D159" s="199"/>
      <c r="E159" s="199"/>
      <c r="F159" s="114"/>
      <c r="G159" s="114"/>
      <c r="H159" s="111"/>
    </row>
    <row r="160" spans="1:8" ht="12.75" customHeight="1" x14ac:dyDescent="0.2">
      <c r="A160" s="112" t="s">
        <v>88</v>
      </c>
      <c r="B160" s="112"/>
      <c r="C160" s="196" t="s">
        <v>381</v>
      </c>
      <c r="D160" s="197"/>
      <c r="E160" s="197"/>
      <c r="F160" s="110">
        <v>795</v>
      </c>
      <c r="G160" s="110">
        <f>G161+G162</f>
        <v>571.13</v>
      </c>
      <c r="H160" s="111">
        <f>G160/F160*100</f>
        <v>71.840251572327034</v>
      </c>
    </row>
    <row r="161" spans="1:8" ht="12.75" customHeight="1" x14ac:dyDescent="0.2">
      <c r="A161" s="113" t="s">
        <v>89</v>
      </c>
      <c r="B161" s="113" t="s">
        <v>258</v>
      </c>
      <c r="C161" s="198" t="s">
        <v>90</v>
      </c>
      <c r="D161" s="199"/>
      <c r="E161" s="199"/>
      <c r="F161" s="114"/>
      <c r="G161" s="114">
        <v>0</v>
      </c>
      <c r="H161" s="111"/>
    </row>
    <row r="162" spans="1:8" ht="12.75" customHeight="1" x14ac:dyDescent="0.2">
      <c r="A162" s="113">
        <v>3225</v>
      </c>
      <c r="B162" s="113" t="s">
        <v>462</v>
      </c>
      <c r="C162" s="124" t="s">
        <v>97</v>
      </c>
      <c r="D162" s="119"/>
      <c r="E162" s="119"/>
      <c r="F162" s="114"/>
      <c r="G162" s="114">
        <v>571.13</v>
      </c>
      <c r="H162" s="111"/>
    </row>
    <row r="163" spans="1:8" ht="12.75" customHeight="1" x14ac:dyDescent="0.2">
      <c r="A163" s="112" t="s">
        <v>80</v>
      </c>
      <c r="B163" s="112"/>
      <c r="C163" s="196" t="s">
        <v>389</v>
      </c>
      <c r="D163" s="197"/>
      <c r="E163" s="197"/>
      <c r="F163" s="110">
        <v>2985</v>
      </c>
      <c r="G163" s="110">
        <f>G164</f>
        <v>2504.4700000000003</v>
      </c>
      <c r="H163" s="111">
        <f>G163/F163*100</f>
        <v>83.901842546063662</v>
      </c>
    </row>
    <row r="164" spans="1:8" ht="12.75" customHeight="1" x14ac:dyDescent="0.2">
      <c r="A164" s="113" t="s">
        <v>99</v>
      </c>
      <c r="B164" s="113" t="s">
        <v>259</v>
      </c>
      <c r="C164" s="198" t="s">
        <v>100</v>
      </c>
      <c r="D164" s="199"/>
      <c r="E164" s="199"/>
      <c r="F164" s="114"/>
      <c r="G164" s="114">
        <f>2464.65+39.82</f>
        <v>2504.4700000000003</v>
      </c>
      <c r="H164" s="111"/>
    </row>
    <row r="165" spans="1:8" ht="12.75" customHeight="1" x14ac:dyDescent="0.2">
      <c r="A165" s="112" t="s">
        <v>108</v>
      </c>
      <c r="B165" s="112"/>
      <c r="C165" s="196" t="s">
        <v>380</v>
      </c>
      <c r="D165" s="197"/>
      <c r="E165" s="197"/>
      <c r="F165" s="110">
        <v>3900</v>
      </c>
      <c r="G165" s="110">
        <f>G166+G167</f>
        <v>1021.51</v>
      </c>
      <c r="H165" s="111">
        <f>G165/F165*100</f>
        <v>26.192564102564102</v>
      </c>
    </row>
    <row r="166" spans="1:8" ht="12.75" customHeight="1" x14ac:dyDescent="0.2">
      <c r="A166" s="113" t="s">
        <v>111</v>
      </c>
      <c r="B166" s="113" t="s">
        <v>260</v>
      </c>
      <c r="C166" s="198" t="s">
        <v>378</v>
      </c>
      <c r="D166" s="199"/>
      <c r="E166" s="199"/>
      <c r="F166" s="114"/>
      <c r="G166" s="114">
        <v>0</v>
      </c>
      <c r="H166" s="111"/>
    </row>
    <row r="167" spans="1:8" ht="12.75" customHeight="1" x14ac:dyDescent="0.2">
      <c r="A167" s="113" t="s">
        <v>111</v>
      </c>
      <c r="B167" s="113" t="s">
        <v>261</v>
      </c>
      <c r="C167" s="198" t="s">
        <v>109</v>
      </c>
      <c r="D167" s="199"/>
      <c r="E167" s="199"/>
      <c r="F167" s="114"/>
      <c r="G167" s="114">
        <v>1021.51</v>
      </c>
      <c r="H167" s="111"/>
    </row>
    <row r="168" spans="1:8" ht="12.75" customHeight="1" x14ac:dyDescent="0.2">
      <c r="A168" s="112" t="s">
        <v>250</v>
      </c>
      <c r="B168" s="112"/>
      <c r="C168" s="196" t="s">
        <v>390</v>
      </c>
      <c r="D168" s="197"/>
      <c r="E168" s="197"/>
      <c r="F168" s="110">
        <v>0</v>
      </c>
      <c r="G168" s="110">
        <v>0</v>
      </c>
      <c r="H168" s="111"/>
    </row>
    <row r="169" spans="1:8" ht="12.75" customHeight="1" x14ac:dyDescent="0.2">
      <c r="A169" s="112" t="s">
        <v>252</v>
      </c>
      <c r="B169" s="112"/>
      <c r="C169" s="196" t="s">
        <v>391</v>
      </c>
      <c r="D169" s="197"/>
      <c r="E169" s="197"/>
      <c r="F169" s="110">
        <v>0</v>
      </c>
      <c r="G169" s="110">
        <f>G170</f>
        <v>0</v>
      </c>
      <c r="H169" s="111"/>
    </row>
    <row r="170" spans="1:8" ht="12.75" customHeight="1" x14ac:dyDescent="0.2">
      <c r="A170" s="113" t="s">
        <v>254</v>
      </c>
      <c r="B170" s="113" t="s">
        <v>262</v>
      </c>
      <c r="C170" s="198" t="s">
        <v>341</v>
      </c>
      <c r="D170" s="199"/>
      <c r="E170" s="199"/>
      <c r="F170" s="114"/>
      <c r="G170" s="114">
        <v>0</v>
      </c>
      <c r="H170" s="111"/>
    </row>
    <row r="171" spans="1:8" x14ac:dyDescent="0.2">
      <c r="A171" s="112" t="s">
        <v>3</v>
      </c>
      <c r="B171" s="112"/>
      <c r="C171" s="196" t="s">
        <v>367</v>
      </c>
      <c r="D171" s="197"/>
      <c r="E171" s="197"/>
      <c r="F171" s="110">
        <f>F172</f>
        <v>400</v>
      </c>
      <c r="G171" s="110">
        <f>G172</f>
        <v>0</v>
      </c>
      <c r="H171" s="111">
        <f>G171/F171*100</f>
        <v>0</v>
      </c>
    </row>
    <row r="172" spans="1:8" ht="12.75" customHeight="1" x14ac:dyDescent="0.2">
      <c r="A172" s="112" t="s">
        <v>221</v>
      </c>
      <c r="B172" s="112"/>
      <c r="C172" s="196" t="s">
        <v>392</v>
      </c>
      <c r="D172" s="197"/>
      <c r="E172" s="197"/>
      <c r="F172" s="110">
        <f>F173</f>
        <v>400</v>
      </c>
      <c r="G172" s="110">
        <f>G173</f>
        <v>0</v>
      </c>
      <c r="H172" s="111">
        <f>G172/F172*100</f>
        <v>0</v>
      </c>
    </row>
    <row r="173" spans="1:8" ht="12.75" customHeight="1" x14ac:dyDescent="0.2">
      <c r="A173" s="112" t="s">
        <v>83</v>
      </c>
      <c r="B173" s="112"/>
      <c r="C173" s="196" t="s">
        <v>223</v>
      </c>
      <c r="D173" s="197"/>
      <c r="E173" s="197"/>
      <c r="F173" s="110">
        <v>400</v>
      </c>
      <c r="G173" s="110">
        <f>G174+G175</f>
        <v>0</v>
      </c>
      <c r="H173" s="111">
        <f>G173/F173*100</f>
        <v>0</v>
      </c>
    </row>
    <row r="174" spans="1:8" ht="12.75" customHeight="1" x14ac:dyDescent="0.2">
      <c r="A174" s="113" t="s">
        <v>84</v>
      </c>
      <c r="B174" s="113" t="s">
        <v>263</v>
      </c>
      <c r="C174" s="198" t="s">
        <v>85</v>
      </c>
      <c r="D174" s="199"/>
      <c r="E174" s="199"/>
      <c r="F174" s="114"/>
      <c r="G174" s="114"/>
      <c r="H174" s="111"/>
    </row>
    <row r="175" spans="1:8" ht="12.75" customHeight="1" x14ac:dyDescent="0.2">
      <c r="A175" s="113" t="s">
        <v>84</v>
      </c>
      <c r="B175" s="113" t="s">
        <v>264</v>
      </c>
      <c r="C175" s="198" t="s">
        <v>85</v>
      </c>
      <c r="D175" s="199"/>
      <c r="E175" s="199"/>
      <c r="F175" s="114"/>
      <c r="G175" s="114"/>
      <c r="H175" s="111"/>
    </row>
    <row r="176" spans="1:8" ht="12.75" customHeight="1" x14ac:dyDescent="0.2">
      <c r="A176" s="196" t="s">
        <v>265</v>
      </c>
      <c r="B176" s="197"/>
      <c r="C176" s="197"/>
      <c r="D176" s="197"/>
      <c r="E176" s="197"/>
      <c r="F176" s="110">
        <f>F177</f>
        <v>215</v>
      </c>
      <c r="G176" s="110">
        <f>G177</f>
        <v>0</v>
      </c>
      <c r="H176" s="111">
        <f>G176/F176*100</f>
        <v>0</v>
      </c>
    </row>
    <row r="177" spans="1:8" ht="12.75" customHeight="1" x14ac:dyDescent="0.2">
      <c r="A177" s="112" t="s">
        <v>2</v>
      </c>
      <c r="B177" s="112"/>
      <c r="C177" s="196" t="s">
        <v>379</v>
      </c>
      <c r="D177" s="197"/>
      <c r="E177" s="197"/>
      <c r="F177" s="110">
        <f>F178</f>
        <v>215</v>
      </c>
      <c r="G177" s="110">
        <f>G178</f>
        <v>0</v>
      </c>
      <c r="H177" s="111">
        <f>G177/F177*100</f>
        <v>0</v>
      </c>
    </row>
    <row r="178" spans="1:8" ht="12.75" customHeight="1" x14ac:dyDescent="0.2">
      <c r="A178" s="112" t="s">
        <v>162</v>
      </c>
      <c r="B178" s="112"/>
      <c r="C178" s="196" t="s">
        <v>355</v>
      </c>
      <c r="D178" s="197"/>
      <c r="E178" s="197"/>
      <c r="F178" s="110">
        <f>F179+F181</f>
        <v>215</v>
      </c>
      <c r="G178" s="110">
        <f>G179+G181</f>
        <v>0</v>
      </c>
      <c r="H178" s="111">
        <f>G178/F178*100</f>
        <v>0</v>
      </c>
    </row>
    <row r="179" spans="1:8" x14ac:dyDescent="0.2">
      <c r="A179" s="112" t="s">
        <v>77</v>
      </c>
      <c r="B179" s="112"/>
      <c r="C179" s="196" t="s">
        <v>388</v>
      </c>
      <c r="D179" s="197"/>
      <c r="E179" s="197"/>
      <c r="F179" s="110">
        <v>215</v>
      </c>
      <c r="G179" s="110">
        <f>G180</f>
        <v>0</v>
      </c>
      <c r="H179" s="111">
        <f>G179/F179*100</f>
        <v>0</v>
      </c>
    </row>
    <row r="180" spans="1:8" ht="12.75" customHeight="1" x14ac:dyDescent="0.2">
      <c r="A180" s="113" t="s">
        <v>165</v>
      </c>
      <c r="B180" s="113" t="s">
        <v>266</v>
      </c>
      <c r="C180" s="198" t="s">
        <v>167</v>
      </c>
      <c r="D180" s="199"/>
      <c r="E180" s="199"/>
      <c r="F180" s="114"/>
      <c r="G180" s="114"/>
      <c r="H180" s="111"/>
    </row>
    <row r="181" spans="1:8" ht="12.75" customHeight="1" x14ac:dyDescent="0.2">
      <c r="A181" s="112" t="s">
        <v>88</v>
      </c>
      <c r="B181" s="112"/>
      <c r="C181" s="196" t="s">
        <v>356</v>
      </c>
      <c r="D181" s="197"/>
      <c r="E181" s="197"/>
      <c r="F181" s="110">
        <v>0</v>
      </c>
      <c r="G181" s="110">
        <v>0</v>
      </c>
      <c r="H181" s="111"/>
    </row>
    <row r="182" spans="1:8" ht="12.75" customHeight="1" x14ac:dyDescent="0.2">
      <c r="A182" s="113" t="s">
        <v>96</v>
      </c>
      <c r="B182" s="113" t="s">
        <v>345</v>
      </c>
      <c r="C182" s="198" t="s">
        <v>97</v>
      </c>
      <c r="D182" s="199"/>
      <c r="E182" s="199"/>
      <c r="F182" s="114"/>
      <c r="G182" s="114"/>
      <c r="H182" s="111"/>
    </row>
    <row r="183" spans="1:8" ht="12.75" customHeight="1" x14ac:dyDescent="0.2">
      <c r="A183" s="196" t="s">
        <v>267</v>
      </c>
      <c r="B183" s="197"/>
      <c r="C183" s="197"/>
      <c r="D183" s="197"/>
      <c r="E183" s="197"/>
      <c r="F183" s="110">
        <f t="shared" ref="F183:G186" si="10">F184</f>
        <v>0</v>
      </c>
      <c r="G183" s="110">
        <f t="shared" si="10"/>
        <v>0</v>
      </c>
      <c r="H183" s="111"/>
    </row>
    <row r="184" spans="1:8" ht="12.75" customHeight="1" x14ac:dyDescent="0.2">
      <c r="A184" s="196" t="s">
        <v>256</v>
      </c>
      <c r="B184" s="197"/>
      <c r="C184" s="197"/>
      <c r="D184" s="197"/>
      <c r="E184" s="197"/>
      <c r="F184" s="110">
        <f t="shared" si="10"/>
        <v>0</v>
      </c>
      <c r="G184" s="110">
        <f t="shared" si="10"/>
        <v>0</v>
      </c>
      <c r="H184" s="111"/>
    </row>
    <row r="185" spans="1:8" ht="12.75" customHeight="1" x14ac:dyDescent="0.2">
      <c r="A185" s="112" t="s">
        <v>2</v>
      </c>
      <c r="B185" s="112"/>
      <c r="C185" s="196" t="s">
        <v>354</v>
      </c>
      <c r="D185" s="197"/>
      <c r="E185" s="197"/>
      <c r="F185" s="110">
        <f t="shared" si="10"/>
        <v>0</v>
      </c>
      <c r="G185" s="110">
        <f t="shared" si="10"/>
        <v>0</v>
      </c>
      <c r="H185" s="111"/>
    </row>
    <row r="186" spans="1:8" ht="12.75" customHeight="1" x14ac:dyDescent="0.2">
      <c r="A186" s="112" t="s">
        <v>162</v>
      </c>
      <c r="B186" s="112"/>
      <c r="C186" s="196" t="s">
        <v>355</v>
      </c>
      <c r="D186" s="197"/>
      <c r="E186" s="197"/>
      <c r="F186" s="110">
        <f t="shared" si="10"/>
        <v>0</v>
      </c>
      <c r="G186" s="110">
        <f t="shared" si="10"/>
        <v>0</v>
      </c>
      <c r="H186" s="111"/>
    </row>
    <row r="187" spans="1:8" ht="12.75" customHeight="1" x14ac:dyDescent="0.2">
      <c r="A187" s="112" t="s">
        <v>77</v>
      </c>
      <c r="B187" s="112"/>
      <c r="C187" s="196" t="s">
        <v>395</v>
      </c>
      <c r="D187" s="197"/>
      <c r="E187" s="197"/>
      <c r="F187" s="110">
        <v>0</v>
      </c>
      <c r="G187" s="110">
        <v>0</v>
      </c>
      <c r="H187" s="111"/>
    </row>
    <row r="188" spans="1:8" ht="12.75" customHeight="1" x14ac:dyDescent="0.2">
      <c r="A188" s="113" t="s">
        <v>165</v>
      </c>
      <c r="B188" s="113" t="s">
        <v>268</v>
      </c>
      <c r="C188" s="198" t="s">
        <v>167</v>
      </c>
      <c r="D188" s="199"/>
      <c r="E188" s="199"/>
      <c r="F188" s="114"/>
      <c r="G188" s="114"/>
      <c r="H188" s="111"/>
    </row>
    <row r="189" spans="1:8" ht="12.75" customHeight="1" x14ac:dyDescent="0.2">
      <c r="A189" s="112" t="s">
        <v>108</v>
      </c>
      <c r="B189" s="112"/>
      <c r="C189" s="196" t="s">
        <v>168</v>
      </c>
      <c r="D189" s="197"/>
      <c r="E189" s="197"/>
      <c r="F189" s="110">
        <v>0</v>
      </c>
      <c r="G189" s="110">
        <v>0</v>
      </c>
      <c r="H189" s="111"/>
    </row>
    <row r="190" spans="1:8" ht="12.75" customHeight="1" x14ac:dyDescent="0.2">
      <c r="A190" s="113" t="s">
        <v>111</v>
      </c>
      <c r="B190" s="113" t="s">
        <v>346</v>
      </c>
      <c r="C190" s="198" t="s">
        <v>109</v>
      </c>
      <c r="D190" s="199"/>
      <c r="E190" s="199"/>
      <c r="F190" s="114"/>
      <c r="G190" s="114"/>
      <c r="H190" s="111"/>
    </row>
    <row r="191" spans="1:8" ht="12.75" customHeight="1" x14ac:dyDescent="0.2">
      <c r="A191" s="196" t="s">
        <v>421</v>
      </c>
      <c r="B191" s="197"/>
      <c r="C191" s="197"/>
      <c r="D191" s="197"/>
      <c r="E191" s="197"/>
      <c r="F191" s="110">
        <f>F192+F204+F219</f>
        <v>24655</v>
      </c>
      <c r="G191" s="110">
        <f>G192+G204+G219</f>
        <v>14860.39</v>
      </c>
      <c r="H191" s="111"/>
    </row>
    <row r="192" spans="1:8" ht="12.75" customHeight="1" x14ac:dyDescent="0.2">
      <c r="A192" s="196" t="s">
        <v>422</v>
      </c>
      <c r="B192" s="197"/>
      <c r="C192" s="197"/>
      <c r="D192" s="197"/>
      <c r="E192" s="197"/>
      <c r="F192" s="110">
        <f>F193</f>
        <v>12300</v>
      </c>
      <c r="G192" s="110">
        <f>G193</f>
        <v>7980.5</v>
      </c>
      <c r="H192" s="111"/>
    </row>
    <row r="193" spans="1:8" ht="12.75" customHeight="1" x14ac:dyDescent="0.2">
      <c r="A193" s="112" t="s">
        <v>2</v>
      </c>
      <c r="B193" s="112"/>
      <c r="C193" s="196" t="s">
        <v>354</v>
      </c>
      <c r="D193" s="197"/>
      <c r="E193" s="197"/>
      <c r="F193" s="110">
        <f>F194+F201</f>
        <v>12300</v>
      </c>
      <c r="G193" s="110">
        <f>G194+G201</f>
        <v>7980.5</v>
      </c>
      <c r="H193" s="111"/>
    </row>
    <row r="194" spans="1:8" ht="12.75" customHeight="1" x14ac:dyDescent="0.2">
      <c r="A194" s="112">
        <v>31</v>
      </c>
      <c r="B194" s="112"/>
      <c r="C194" s="196" t="s">
        <v>384</v>
      </c>
      <c r="D194" s="197"/>
      <c r="E194" s="197"/>
      <c r="F194" s="110">
        <f>F195+F197+F199</f>
        <v>11905</v>
      </c>
      <c r="G194" s="110">
        <f>G195+G197+G199</f>
        <v>7542.33</v>
      </c>
      <c r="H194" s="111"/>
    </row>
    <row r="195" spans="1:8" ht="12.75" customHeight="1" x14ac:dyDescent="0.2">
      <c r="A195" s="112">
        <v>311</v>
      </c>
      <c r="B195" s="112"/>
      <c r="C195" s="196" t="s">
        <v>423</v>
      </c>
      <c r="D195" s="197"/>
      <c r="E195" s="197"/>
      <c r="F195" s="110">
        <v>10000</v>
      </c>
      <c r="G195" s="110">
        <f>G196</f>
        <v>6275.75</v>
      </c>
      <c r="H195" s="111"/>
    </row>
    <row r="196" spans="1:8" ht="12.75" customHeight="1" x14ac:dyDescent="0.2">
      <c r="A196" s="113">
        <v>3111</v>
      </c>
      <c r="B196" s="113" t="s">
        <v>424</v>
      </c>
      <c r="C196" s="198" t="s">
        <v>70</v>
      </c>
      <c r="D196" s="199"/>
      <c r="E196" s="199"/>
      <c r="F196" s="114"/>
      <c r="G196" s="114">
        <v>6275.75</v>
      </c>
      <c r="H196" s="111"/>
    </row>
    <row r="197" spans="1:8" ht="12.75" customHeight="1" x14ac:dyDescent="0.2">
      <c r="A197" s="112">
        <v>312</v>
      </c>
      <c r="B197" s="112"/>
      <c r="C197" s="196" t="s">
        <v>72</v>
      </c>
      <c r="D197" s="197"/>
      <c r="E197" s="197"/>
      <c r="F197" s="110">
        <v>305</v>
      </c>
      <c r="G197" s="110">
        <f>G198</f>
        <v>200</v>
      </c>
      <c r="H197" s="111"/>
    </row>
    <row r="198" spans="1:8" ht="12.75" customHeight="1" x14ac:dyDescent="0.2">
      <c r="A198" s="113">
        <v>3121</v>
      </c>
      <c r="B198" s="113" t="s">
        <v>425</v>
      </c>
      <c r="C198" s="198" t="s">
        <v>72</v>
      </c>
      <c r="D198" s="199"/>
      <c r="E198" s="199"/>
      <c r="F198" s="114"/>
      <c r="G198" s="114">
        <v>200</v>
      </c>
      <c r="H198" s="111"/>
    </row>
    <row r="199" spans="1:8" ht="12.75" customHeight="1" x14ac:dyDescent="0.2">
      <c r="A199" s="125">
        <v>313</v>
      </c>
      <c r="B199" s="126"/>
      <c r="C199" s="194" t="s">
        <v>387</v>
      </c>
      <c r="D199" s="194"/>
      <c r="E199" s="194"/>
      <c r="F199" s="110">
        <v>1600</v>
      </c>
      <c r="G199" s="114">
        <f>G200</f>
        <v>1066.58</v>
      </c>
      <c r="H199" s="111"/>
    </row>
    <row r="200" spans="1:8" ht="12.75" customHeight="1" x14ac:dyDescent="0.2">
      <c r="A200" s="124">
        <v>3132</v>
      </c>
      <c r="B200" s="119" t="s">
        <v>426</v>
      </c>
      <c r="C200" s="195" t="s">
        <v>428</v>
      </c>
      <c r="D200" s="195"/>
      <c r="E200" s="195"/>
      <c r="F200" s="114"/>
      <c r="G200" s="114">
        <v>1066.58</v>
      </c>
      <c r="H200" s="111"/>
    </row>
    <row r="201" spans="1:8" ht="12.75" customHeight="1" x14ac:dyDescent="0.2">
      <c r="A201" s="125">
        <v>32</v>
      </c>
      <c r="B201" s="126"/>
      <c r="C201" s="194" t="s">
        <v>366</v>
      </c>
      <c r="D201" s="194"/>
      <c r="E201" s="194"/>
      <c r="F201" s="114">
        <f>F202</f>
        <v>395</v>
      </c>
      <c r="G201" s="114">
        <f>G202</f>
        <v>438.17</v>
      </c>
      <c r="H201" s="111"/>
    </row>
    <row r="202" spans="1:8" ht="12.75" customHeight="1" x14ac:dyDescent="0.2">
      <c r="A202" s="125">
        <v>321</v>
      </c>
      <c r="B202" s="126"/>
      <c r="C202" s="194" t="s">
        <v>358</v>
      </c>
      <c r="D202" s="194"/>
      <c r="E202" s="194"/>
      <c r="F202" s="114">
        <v>395</v>
      </c>
      <c r="G202" s="114">
        <f>G203</f>
        <v>438.17</v>
      </c>
      <c r="H202" s="111"/>
    </row>
    <row r="203" spans="1:8" ht="12.75" customHeight="1" x14ac:dyDescent="0.2">
      <c r="A203" s="124">
        <v>3212</v>
      </c>
      <c r="B203" s="119" t="s">
        <v>427</v>
      </c>
      <c r="C203" s="195" t="s">
        <v>429</v>
      </c>
      <c r="D203" s="195"/>
      <c r="E203" s="195"/>
      <c r="F203" s="114"/>
      <c r="G203" s="114">
        <v>438.17</v>
      </c>
      <c r="H203" s="111"/>
    </row>
    <row r="204" spans="1:8" ht="12.75" customHeight="1" x14ac:dyDescent="0.2">
      <c r="A204" s="196" t="s">
        <v>430</v>
      </c>
      <c r="B204" s="197"/>
      <c r="C204" s="197"/>
      <c r="D204" s="197"/>
      <c r="E204" s="197"/>
      <c r="F204" s="110">
        <f>F205</f>
        <v>8870</v>
      </c>
      <c r="G204" s="110">
        <f>G205</f>
        <v>4216.3900000000003</v>
      </c>
      <c r="H204" s="111"/>
    </row>
    <row r="205" spans="1:8" ht="12.75" customHeight="1" x14ac:dyDescent="0.2">
      <c r="A205" s="112" t="s">
        <v>2</v>
      </c>
      <c r="B205" s="112"/>
      <c r="C205" s="196" t="s">
        <v>354</v>
      </c>
      <c r="D205" s="197"/>
      <c r="E205" s="197"/>
      <c r="F205" s="110">
        <f>F206+F213</f>
        <v>8870</v>
      </c>
      <c r="G205" s="110">
        <f>G206+G213</f>
        <v>4216.3900000000003</v>
      </c>
      <c r="H205" s="111"/>
    </row>
    <row r="206" spans="1:8" ht="12.75" customHeight="1" x14ac:dyDescent="0.2">
      <c r="A206" s="112">
        <v>31</v>
      </c>
      <c r="B206" s="112"/>
      <c r="C206" s="196" t="s">
        <v>384</v>
      </c>
      <c r="D206" s="197"/>
      <c r="E206" s="197"/>
      <c r="F206" s="110">
        <f>F207+F209+F211</f>
        <v>1645</v>
      </c>
      <c r="G206" s="110">
        <f>G207+G209+G211</f>
        <v>1022.62</v>
      </c>
      <c r="H206" s="111"/>
    </row>
    <row r="207" spans="1:8" x14ac:dyDescent="0.2">
      <c r="A207" s="112">
        <v>311</v>
      </c>
      <c r="B207" s="112"/>
      <c r="C207" s="196" t="s">
        <v>423</v>
      </c>
      <c r="D207" s="197"/>
      <c r="E207" s="197"/>
      <c r="F207" s="110">
        <v>1380</v>
      </c>
      <c r="G207" s="110">
        <f>G208</f>
        <v>887.62</v>
      </c>
      <c r="H207" s="111"/>
    </row>
    <row r="208" spans="1:8" ht="12.75" customHeight="1" x14ac:dyDescent="0.2">
      <c r="A208" s="113">
        <v>3111</v>
      </c>
      <c r="B208" s="113" t="s">
        <v>431</v>
      </c>
      <c r="C208" s="198" t="s">
        <v>70</v>
      </c>
      <c r="D208" s="199"/>
      <c r="E208" s="199"/>
      <c r="F208" s="114"/>
      <c r="G208" s="114">
        <v>887.62</v>
      </c>
      <c r="H208" s="111"/>
    </row>
    <row r="209" spans="1:8" ht="12.75" customHeight="1" x14ac:dyDescent="0.2">
      <c r="A209" s="112">
        <v>312</v>
      </c>
      <c r="B209" s="112"/>
      <c r="C209" s="196" t="s">
        <v>72</v>
      </c>
      <c r="D209" s="197"/>
      <c r="E209" s="197"/>
      <c r="F209" s="110">
        <v>40</v>
      </c>
      <c r="G209" s="110">
        <f>G210</f>
        <v>30</v>
      </c>
      <c r="H209" s="111"/>
    </row>
    <row r="210" spans="1:8" ht="12.75" customHeight="1" x14ac:dyDescent="0.2">
      <c r="A210" s="113">
        <v>3121</v>
      </c>
      <c r="B210" s="113" t="s">
        <v>432</v>
      </c>
      <c r="C210" s="198" t="s">
        <v>72</v>
      </c>
      <c r="D210" s="199"/>
      <c r="E210" s="199"/>
      <c r="F210" s="114"/>
      <c r="G210" s="114">
        <v>30</v>
      </c>
      <c r="H210" s="111"/>
    </row>
    <row r="211" spans="1:8" ht="12.75" customHeight="1" x14ac:dyDescent="0.2">
      <c r="A211" s="125">
        <v>313</v>
      </c>
      <c r="B211" s="126"/>
      <c r="C211" s="194" t="s">
        <v>387</v>
      </c>
      <c r="D211" s="194"/>
      <c r="E211" s="194"/>
      <c r="F211" s="110">
        <v>225</v>
      </c>
      <c r="G211" s="114">
        <f>G212</f>
        <v>105</v>
      </c>
      <c r="H211" s="111"/>
    </row>
    <row r="212" spans="1:8" ht="12.75" customHeight="1" x14ac:dyDescent="0.2">
      <c r="A212" s="124">
        <v>3132</v>
      </c>
      <c r="B212" s="119" t="s">
        <v>433</v>
      </c>
      <c r="C212" s="195" t="s">
        <v>428</v>
      </c>
      <c r="D212" s="195"/>
      <c r="E212" s="195"/>
      <c r="F212" s="114"/>
      <c r="G212" s="114">
        <v>105</v>
      </c>
      <c r="H212" s="111"/>
    </row>
    <row r="213" spans="1:8" ht="12.75" customHeight="1" x14ac:dyDescent="0.2">
      <c r="A213" s="125">
        <v>32</v>
      </c>
      <c r="B213" s="126"/>
      <c r="C213" s="194" t="s">
        <v>366</v>
      </c>
      <c r="D213" s="194"/>
      <c r="E213" s="194"/>
      <c r="F213" s="114">
        <f>F214+F216</f>
        <v>7225</v>
      </c>
      <c r="G213" s="114">
        <f>G214+G216</f>
        <v>3193.77</v>
      </c>
      <c r="H213" s="111"/>
    </row>
    <row r="214" spans="1:8" ht="12.75" customHeight="1" x14ac:dyDescent="0.2">
      <c r="A214" s="125">
        <v>321</v>
      </c>
      <c r="B214" s="126"/>
      <c r="C214" s="194" t="s">
        <v>358</v>
      </c>
      <c r="D214" s="194"/>
      <c r="E214" s="194"/>
      <c r="F214" s="114">
        <v>55</v>
      </c>
      <c r="G214" s="114">
        <f>G215</f>
        <v>35</v>
      </c>
      <c r="H214" s="111"/>
    </row>
    <row r="215" spans="1:8" ht="12.75" customHeight="1" x14ac:dyDescent="0.2">
      <c r="A215" s="124">
        <v>3212</v>
      </c>
      <c r="B215" s="119" t="s">
        <v>434</v>
      </c>
      <c r="C215" s="195" t="s">
        <v>429</v>
      </c>
      <c r="D215" s="195"/>
      <c r="E215" s="195"/>
      <c r="F215" s="114"/>
      <c r="G215" s="114">
        <v>35</v>
      </c>
      <c r="H215" s="111"/>
    </row>
    <row r="216" spans="1:8" ht="12.75" customHeight="1" x14ac:dyDescent="0.2">
      <c r="A216" s="125">
        <v>322</v>
      </c>
      <c r="B216" s="126"/>
      <c r="C216" s="127" t="s">
        <v>381</v>
      </c>
      <c r="D216" s="128"/>
      <c r="E216" s="128"/>
      <c r="F216" s="114">
        <v>7170</v>
      </c>
      <c r="G216" s="114">
        <f>G217+G218</f>
        <v>3158.77</v>
      </c>
      <c r="H216" s="111"/>
    </row>
    <row r="217" spans="1:8" ht="12.75" customHeight="1" x14ac:dyDescent="0.2">
      <c r="A217" s="124">
        <v>3221</v>
      </c>
      <c r="B217" s="119" t="s">
        <v>435</v>
      </c>
      <c r="C217" s="119" t="s">
        <v>90</v>
      </c>
      <c r="D217" s="119"/>
      <c r="E217" s="119"/>
      <c r="F217" s="114"/>
      <c r="G217" s="114">
        <v>458.56</v>
      </c>
      <c r="H217" s="111"/>
    </row>
    <row r="218" spans="1:8" ht="12.75" customHeight="1" x14ac:dyDescent="0.2">
      <c r="A218" s="124">
        <v>3222</v>
      </c>
      <c r="B218" s="119" t="s">
        <v>436</v>
      </c>
      <c r="C218" s="119" t="s">
        <v>92</v>
      </c>
      <c r="D218" s="119"/>
      <c r="E218" s="119"/>
      <c r="F218" s="114"/>
      <c r="G218" s="114">
        <v>2700.21</v>
      </c>
      <c r="H218" s="111"/>
    </row>
    <row r="219" spans="1:8" ht="12.75" customHeight="1" x14ac:dyDescent="0.2">
      <c r="A219" s="196" t="s">
        <v>437</v>
      </c>
      <c r="B219" s="197"/>
      <c r="C219" s="197"/>
      <c r="D219" s="197"/>
      <c r="E219" s="197"/>
      <c r="F219" s="110">
        <f>F220</f>
        <v>3485</v>
      </c>
      <c r="G219" s="110">
        <f>G220</f>
        <v>2663.5</v>
      </c>
      <c r="H219" s="111"/>
    </row>
    <row r="220" spans="1:8" ht="12.75" customHeight="1" x14ac:dyDescent="0.2">
      <c r="A220" s="112" t="s">
        <v>2</v>
      </c>
      <c r="B220" s="112"/>
      <c r="C220" s="196" t="s">
        <v>354</v>
      </c>
      <c r="D220" s="197"/>
      <c r="E220" s="197"/>
      <c r="F220" s="110">
        <f>F221+F228</f>
        <v>3485</v>
      </c>
      <c r="G220" s="110">
        <f>G221+G228</f>
        <v>2663.5</v>
      </c>
      <c r="H220" s="111"/>
    </row>
    <row r="221" spans="1:8" ht="12.75" customHeight="1" x14ac:dyDescent="0.2">
      <c r="A221" s="112">
        <v>31</v>
      </c>
      <c r="B221" s="112"/>
      <c r="C221" s="196" t="s">
        <v>384</v>
      </c>
      <c r="D221" s="197"/>
      <c r="E221" s="197"/>
      <c r="F221" s="110">
        <f>F222+F224+F226</f>
        <v>3350</v>
      </c>
      <c r="G221" s="110">
        <f>G222+G224+G226</f>
        <v>2517.44</v>
      </c>
      <c r="H221" s="111"/>
    </row>
    <row r="222" spans="1:8" ht="12.75" customHeight="1" x14ac:dyDescent="0.2">
      <c r="A222" s="112">
        <v>311</v>
      </c>
      <c r="B222" s="112"/>
      <c r="C222" s="196" t="s">
        <v>423</v>
      </c>
      <c r="D222" s="197"/>
      <c r="E222" s="197"/>
      <c r="F222" s="110">
        <v>2655</v>
      </c>
      <c r="G222" s="110">
        <f>G223</f>
        <v>2091.9</v>
      </c>
      <c r="H222" s="111"/>
    </row>
    <row r="223" spans="1:8" ht="12.75" customHeight="1" x14ac:dyDescent="0.2">
      <c r="A223" s="113">
        <v>3111</v>
      </c>
      <c r="B223" s="113" t="s">
        <v>424</v>
      </c>
      <c r="C223" s="198" t="s">
        <v>70</v>
      </c>
      <c r="D223" s="199"/>
      <c r="E223" s="199"/>
      <c r="F223" s="114"/>
      <c r="G223" s="114">
        <v>2091.9</v>
      </c>
      <c r="H223" s="111"/>
    </row>
    <row r="224" spans="1:8" x14ac:dyDescent="0.2">
      <c r="A224" s="112">
        <v>312</v>
      </c>
      <c r="B224" s="112"/>
      <c r="C224" s="196" t="s">
        <v>72</v>
      </c>
      <c r="D224" s="197"/>
      <c r="E224" s="197"/>
      <c r="F224" s="110">
        <v>95</v>
      </c>
      <c r="G224" s="110">
        <f>G225</f>
        <v>70</v>
      </c>
      <c r="H224" s="111"/>
    </row>
    <row r="225" spans="1:8" ht="12.75" customHeight="1" x14ac:dyDescent="0.2">
      <c r="A225" s="113">
        <v>3121</v>
      </c>
      <c r="B225" s="113" t="s">
        <v>425</v>
      </c>
      <c r="C225" s="198" t="s">
        <v>72</v>
      </c>
      <c r="D225" s="199"/>
      <c r="E225" s="199"/>
      <c r="F225" s="114"/>
      <c r="G225" s="114">
        <v>70</v>
      </c>
      <c r="H225" s="111"/>
    </row>
    <row r="226" spans="1:8" ht="12.75" customHeight="1" x14ac:dyDescent="0.2">
      <c r="A226" s="125">
        <v>313</v>
      </c>
      <c r="B226" s="126"/>
      <c r="C226" s="194" t="s">
        <v>387</v>
      </c>
      <c r="D226" s="194"/>
      <c r="E226" s="194"/>
      <c r="F226" s="110">
        <v>600</v>
      </c>
      <c r="G226" s="114">
        <f>G227</f>
        <v>355.54</v>
      </c>
      <c r="H226" s="111"/>
    </row>
    <row r="227" spans="1:8" x14ac:dyDescent="0.2">
      <c r="A227" s="124">
        <v>3132</v>
      </c>
      <c r="B227" s="119" t="s">
        <v>426</v>
      </c>
      <c r="C227" s="195" t="s">
        <v>428</v>
      </c>
      <c r="D227" s="195"/>
      <c r="E227" s="195"/>
      <c r="F227" s="114"/>
      <c r="G227" s="114">
        <v>355.54</v>
      </c>
      <c r="H227" s="111"/>
    </row>
    <row r="228" spans="1:8" ht="14.25" customHeight="1" x14ac:dyDescent="0.2">
      <c r="A228" s="125">
        <v>32</v>
      </c>
      <c r="B228" s="126"/>
      <c r="C228" s="194" t="s">
        <v>366</v>
      </c>
      <c r="D228" s="194"/>
      <c r="E228" s="194"/>
      <c r="F228" s="110">
        <f>F229</f>
        <v>135</v>
      </c>
      <c r="G228" s="110">
        <f>G229</f>
        <v>146.06</v>
      </c>
      <c r="H228" s="111"/>
    </row>
    <row r="229" spans="1:8" ht="14.25" customHeight="1" x14ac:dyDescent="0.2">
      <c r="A229" s="125">
        <v>321</v>
      </c>
      <c r="B229" s="126"/>
      <c r="C229" s="194" t="s">
        <v>358</v>
      </c>
      <c r="D229" s="194"/>
      <c r="E229" s="194"/>
      <c r="F229" s="114">
        <v>135</v>
      </c>
      <c r="G229" s="114">
        <f>G230</f>
        <v>146.06</v>
      </c>
      <c r="H229" s="111"/>
    </row>
    <row r="230" spans="1:8" x14ac:dyDescent="0.2">
      <c r="A230" s="124">
        <v>3212</v>
      </c>
      <c r="B230" s="119" t="s">
        <v>427</v>
      </c>
      <c r="C230" s="195" t="s">
        <v>429</v>
      </c>
      <c r="D230" s="195"/>
      <c r="E230" s="195"/>
      <c r="F230" s="114"/>
      <c r="G230" s="114">
        <v>146.06</v>
      </c>
      <c r="H230" s="111"/>
    </row>
    <row r="231" spans="1:8" x14ac:dyDescent="0.2">
      <c r="A231" s="196" t="s">
        <v>269</v>
      </c>
      <c r="B231" s="197"/>
      <c r="C231" s="197"/>
      <c r="D231" s="197"/>
      <c r="E231" s="197"/>
      <c r="F231" s="110">
        <f>F232+F239+F248</f>
        <v>10500</v>
      </c>
      <c r="G231" s="110">
        <f>G232+G239+G248</f>
        <v>9447.5</v>
      </c>
      <c r="H231" s="111">
        <f>G231/F231*100</f>
        <v>89.976190476190482</v>
      </c>
    </row>
    <row r="232" spans="1:8" x14ac:dyDescent="0.2">
      <c r="A232" s="196" t="s">
        <v>160</v>
      </c>
      <c r="B232" s="197"/>
      <c r="C232" s="197"/>
      <c r="D232" s="197"/>
      <c r="E232" s="197"/>
      <c r="F232" s="110">
        <v>0</v>
      </c>
      <c r="G232" s="110">
        <v>0</v>
      </c>
      <c r="H232" s="111"/>
    </row>
    <row r="233" spans="1:8" x14ac:dyDescent="0.2">
      <c r="A233" s="112" t="s">
        <v>3</v>
      </c>
      <c r="B233" s="112"/>
      <c r="C233" s="196" t="s">
        <v>367</v>
      </c>
      <c r="D233" s="197"/>
      <c r="E233" s="197"/>
      <c r="F233" s="110">
        <v>0</v>
      </c>
      <c r="G233" s="110">
        <v>0</v>
      </c>
      <c r="H233" s="111"/>
    </row>
    <row r="234" spans="1:8" x14ac:dyDescent="0.2">
      <c r="A234" s="112" t="s">
        <v>221</v>
      </c>
      <c r="B234" s="112"/>
      <c r="C234" s="196" t="s">
        <v>368</v>
      </c>
      <c r="D234" s="197"/>
      <c r="E234" s="197"/>
      <c r="F234" s="110">
        <v>0</v>
      </c>
      <c r="G234" s="110">
        <v>0</v>
      </c>
      <c r="H234" s="111"/>
    </row>
    <row r="235" spans="1:8" x14ac:dyDescent="0.2">
      <c r="A235" s="112" t="s">
        <v>83</v>
      </c>
      <c r="B235" s="112"/>
      <c r="C235" s="196" t="s">
        <v>369</v>
      </c>
      <c r="D235" s="197"/>
      <c r="E235" s="197"/>
      <c r="F235" s="110">
        <v>0</v>
      </c>
      <c r="G235" s="110">
        <v>0</v>
      </c>
      <c r="H235" s="111"/>
    </row>
    <row r="236" spans="1:8" x14ac:dyDescent="0.2">
      <c r="A236" s="113" t="s">
        <v>84</v>
      </c>
      <c r="B236" s="113" t="s">
        <v>270</v>
      </c>
      <c r="C236" s="198" t="s">
        <v>85</v>
      </c>
      <c r="D236" s="199"/>
      <c r="E236" s="199"/>
      <c r="F236" s="114"/>
      <c r="G236" s="114"/>
      <c r="H236" s="111"/>
    </row>
    <row r="237" spans="1:8" x14ac:dyDescent="0.2">
      <c r="A237" s="112" t="s">
        <v>226</v>
      </c>
      <c r="B237" s="112"/>
      <c r="C237" s="196" t="s">
        <v>370</v>
      </c>
      <c r="D237" s="197"/>
      <c r="E237" s="197"/>
      <c r="F237" s="110">
        <v>0</v>
      </c>
      <c r="G237" s="110">
        <v>0</v>
      </c>
      <c r="H237" s="111"/>
    </row>
    <row r="238" spans="1:8" x14ac:dyDescent="0.2">
      <c r="A238" s="113" t="s">
        <v>228</v>
      </c>
      <c r="B238" s="113" t="s">
        <v>271</v>
      </c>
      <c r="C238" s="198" t="s">
        <v>229</v>
      </c>
      <c r="D238" s="199"/>
      <c r="E238" s="199"/>
      <c r="F238" s="114"/>
      <c r="G238" s="114"/>
      <c r="H238" s="111"/>
    </row>
    <row r="239" spans="1:8" x14ac:dyDescent="0.2">
      <c r="A239" s="196" t="s">
        <v>183</v>
      </c>
      <c r="B239" s="197"/>
      <c r="C239" s="197"/>
      <c r="D239" s="197"/>
      <c r="E239" s="197"/>
      <c r="F239" s="110">
        <f>F240+F244</f>
        <v>10500</v>
      </c>
      <c r="G239" s="110">
        <f>G240+G244</f>
        <v>9447.5</v>
      </c>
      <c r="H239" s="111">
        <f>G239/F239*100</f>
        <v>89.976190476190482</v>
      </c>
    </row>
    <row r="240" spans="1:8" x14ac:dyDescent="0.2">
      <c r="A240" s="112" t="s">
        <v>2</v>
      </c>
      <c r="B240" s="112"/>
      <c r="C240" s="196" t="s">
        <v>379</v>
      </c>
      <c r="D240" s="197"/>
      <c r="E240" s="197"/>
      <c r="F240" s="110">
        <f>F241</f>
        <v>1000</v>
      </c>
      <c r="G240" s="110">
        <f>G241</f>
        <v>0</v>
      </c>
      <c r="H240" s="111">
        <f>G240/F240*100</f>
        <v>0</v>
      </c>
    </row>
    <row r="241" spans="1:8" x14ac:dyDescent="0.2">
      <c r="A241" s="112" t="s">
        <v>162</v>
      </c>
      <c r="B241" s="112"/>
      <c r="C241" s="196" t="s">
        <v>366</v>
      </c>
      <c r="D241" s="197"/>
      <c r="E241" s="197"/>
      <c r="F241" s="110">
        <f>F242</f>
        <v>1000</v>
      </c>
      <c r="G241" s="110">
        <f>G242</f>
        <v>0</v>
      </c>
      <c r="H241" s="111">
        <f>G241/F241*100</f>
        <v>0</v>
      </c>
    </row>
    <row r="242" spans="1:8" x14ac:dyDescent="0.2">
      <c r="A242" s="112" t="s">
        <v>80</v>
      </c>
      <c r="B242" s="112"/>
      <c r="C242" s="196" t="s">
        <v>359</v>
      </c>
      <c r="D242" s="197"/>
      <c r="E242" s="197"/>
      <c r="F242" s="110">
        <v>1000</v>
      </c>
      <c r="G242" s="110">
        <f>G243</f>
        <v>0</v>
      </c>
      <c r="H242" s="111">
        <f>G242/F242*100</f>
        <v>0</v>
      </c>
    </row>
    <row r="243" spans="1:8" x14ac:dyDescent="0.2">
      <c r="A243" s="113" t="s">
        <v>101</v>
      </c>
      <c r="B243" s="113" t="s">
        <v>272</v>
      </c>
      <c r="C243" s="198" t="s">
        <v>102</v>
      </c>
      <c r="D243" s="199"/>
      <c r="E243" s="199"/>
      <c r="F243" s="114"/>
      <c r="G243" s="114">
        <v>0</v>
      </c>
      <c r="H243" s="111"/>
    </row>
    <row r="244" spans="1:8" x14ac:dyDescent="0.2">
      <c r="A244" s="112" t="s">
        <v>3</v>
      </c>
      <c r="B244" s="112"/>
      <c r="C244" s="196" t="s">
        <v>367</v>
      </c>
      <c r="D244" s="197"/>
      <c r="E244" s="197"/>
      <c r="F244" s="110">
        <f>F245</f>
        <v>9500</v>
      </c>
      <c r="G244" s="110">
        <f>G245</f>
        <v>9447.5</v>
      </c>
      <c r="H244" s="111"/>
    </row>
    <row r="245" spans="1:8" x14ac:dyDescent="0.2">
      <c r="A245" s="112" t="s">
        <v>221</v>
      </c>
      <c r="B245" s="112"/>
      <c r="C245" s="196" t="s">
        <v>368</v>
      </c>
      <c r="D245" s="197"/>
      <c r="E245" s="197"/>
      <c r="F245" s="110">
        <f>F246</f>
        <v>9500</v>
      </c>
      <c r="G245" s="110">
        <f>G246</f>
        <v>9447.5</v>
      </c>
      <c r="H245" s="111"/>
    </row>
    <row r="246" spans="1:8" x14ac:dyDescent="0.2">
      <c r="A246" s="112" t="s">
        <v>83</v>
      </c>
      <c r="B246" s="112"/>
      <c r="C246" s="196" t="s">
        <v>369</v>
      </c>
      <c r="D246" s="197"/>
      <c r="E246" s="197"/>
      <c r="F246" s="110">
        <v>9500</v>
      </c>
      <c r="G246" s="110">
        <f>G247</f>
        <v>9447.5</v>
      </c>
      <c r="H246" s="111"/>
    </row>
    <row r="247" spans="1:8" x14ac:dyDescent="0.2">
      <c r="A247" s="113">
        <v>4227</v>
      </c>
      <c r="B247" s="113" t="s">
        <v>347</v>
      </c>
      <c r="C247" s="198" t="s">
        <v>333</v>
      </c>
      <c r="D247" s="199"/>
      <c r="E247" s="199"/>
      <c r="F247" s="114"/>
      <c r="G247" s="114">
        <v>9447.5</v>
      </c>
      <c r="H247" s="111"/>
    </row>
    <row r="248" spans="1:8" x14ac:dyDescent="0.2">
      <c r="A248" s="196" t="s">
        <v>273</v>
      </c>
      <c r="B248" s="197"/>
      <c r="C248" s="197"/>
      <c r="D248" s="197"/>
      <c r="E248" s="197"/>
      <c r="F248" s="110">
        <f t="shared" ref="F248:G250" si="11">F249</f>
        <v>0</v>
      </c>
      <c r="G248" s="110">
        <f t="shared" si="11"/>
        <v>0</v>
      </c>
      <c r="H248" s="111"/>
    </row>
    <row r="249" spans="1:8" x14ac:dyDescent="0.2">
      <c r="A249" s="112" t="s">
        <v>3</v>
      </c>
      <c r="B249" s="112"/>
      <c r="C249" s="196" t="s">
        <v>393</v>
      </c>
      <c r="D249" s="197"/>
      <c r="E249" s="197"/>
      <c r="F249" s="110">
        <f t="shared" si="11"/>
        <v>0</v>
      </c>
      <c r="G249" s="110">
        <f t="shared" si="11"/>
        <v>0</v>
      </c>
      <c r="H249" s="111"/>
    </row>
    <row r="250" spans="1:8" x14ac:dyDescent="0.2">
      <c r="A250" s="112" t="s">
        <v>221</v>
      </c>
      <c r="B250" s="112"/>
      <c r="C250" s="196" t="s">
        <v>368</v>
      </c>
      <c r="D250" s="197"/>
      <c r="E250" s="197"/>
      <c r="F250" s="110">
        <f t="shared" si="11"/>
        <v>0</v>
      </c>
      <c r="G250" s="110">
        <f t="shared" si="11"/>
        <v>0</v>
      </c>
      <c r="H250" s="111"/>
    </row>
    <row r="251" spans="1:8" x14ac:dyDescent="0.2">
      <c r="A251" s="112" t="s">
        <v>83</v>
      </c>
      <c r="B251" s="112"/>
      <c r="C251" s="196" t="s">
        <v>369</v>
      </c>
      <c r="D251" s="197"/>
      <c r="E251" s="197"/>
      <c r="F251" s="110">
        <v>0</v>
      </c>
      <c r="G251" s="110">
        <f>G252</f>
        <v>0</v>
      </c>
      <c r="H251" s="111"/>
    </row>
    <row r="252" spans="1:8" x14ac:dyDescent="0.2">
      <c r="A252" s="113" t="s">
        <v>84</v>
      </c>
      <c r="B252" s="113" t="s">
        <v>347</v>
      </c>
      <c r="C252" s="198" t="s">
        <v>85</v>
      </c>
      <c r="D252" s="199"/>
      <c r="E252" s="199"/>
      <c r="F252" s="114"/>
      <c r="G252" s="114"/>
      <c r="H252" s="111"/>
    </row>
    <row r="253" spans="1:8" x14ac:dyDescent="0.2">
      <c r="A253" s="196" t="s">
        <v>274</v>
      </c>
      <c r="B253" s="197"/>
      <c r="C253" s="197"/>
      <c r="D253" s="197"/>
      <c r="E253" s="197"/>
      <c r="F253" s="110">
        <f>F254</f>
        <v>21910</v>
      </c>
      <c r="G253" s="110">
        <f>G254</f>
        <v>15735.72</v>
      </c>
      <c r="H253" s="111">
        <f>G253/F253*100</f>
        <v>71.819808306709263</v>
      </c>
    </row>
    <row r="254" spans="1:8" x14ac:dyDescent="0.2">
      <c r="A254" s="196" t="s">
        <v>273</v>
      </c>
      <c r="B254" s="197"/>
      <c r="C254" s="197"/>
      <c r="D254" s="197"/>
      <c r="E254" s="197"/>
      <c r="F254" s="110">
        <f>F255</f>
        <v>21910</v>
      </c>
      <c r="G254" s="110">
        <f>G255</f>
        <v>15735.72</v>
      </c>
      <c r="H254" s="111">
        <f>G254/F254*100</f>
        <v>71.819808306709263</v>
      </c>
    </row>
    <row r="255" spans="1:8" x14ac:dyDescent="0.2">
      <c r="A255" s="112" t="s">
        <v>2</v>
      </c>
      <c r="B255" s="112"/>
      <c r="C255" s="196" t="s">
        <v>354</v>
      </c>
      <c r="D255" s="197"/>
      <c r="E255" s="197"/>
      <c r="F255" s="110">
        <f>F256+F263</f>
        <v>21910</v>
      </c>
      <c r="G255" s="110">
        <f>G256+G263</f>
        <v>15735.72</v>
      </c>
      <c r="H255" s="111">
        <f>G255/F255*100</f>
        <v>71.819808306709263</v>
      </c>
    </row>
    <row r="256" spans="1:8" x14ac:dyDescent="0.2">
      <c r="A256" s="112" t="s">
        <v>237</v>
      </c>
      <c r="B256" s="112"/>
      <c r="C256" s="196" t="s">
        <v>384</v>
      </c>
      <c r="D256" s="197"/>
      <c r="E256" s="197"/>
      <c r="F256" s="110">
        <f>F257+F259+F261</f>
        <v>20850</v>
      </c>
      <c r="G256" s="110">
        <f>G257+G259+G261</f>
        <v>14933.869999999999</v>
      </c>
      <c r="H256" s="111">
        <f>G256/F256*100</f>
        <v>71.625275779376494</v>
      </c>
    </row>
    <row r="257" spans="1:8" x14ac:dyDescent="0.2">
      <c r="A257" s="112" t="s">
        <v>68</v>
      </c>
      <c r="B257" s="112"/>
      <c r="C257" s="196" t="s">
        <v>396</v>
      </c>
      <c r="D257" s="197"/>
      <c r="E257" s="197"/>
      <c r="F257" s="110">
        <v>15300</v>
      </c>
      <c r="G257" s="110">
        <f>G258</f>
        <v>11610.39</v>
      </c>
      <c r="H257" s="111">
        <f>G257/F257*100</f>
        <v>75.884901960784319</v>
      </c>
    </row>
    <row r="258" spans="1:8" x14ac:dyDescent="0.2">
      <c r="A258" s="113" t="s">
        <v>69</v>
      </c>
      <c r="B258" s="113" t="s">
        <v>275</v>
      </c>
      <c r="C258" s="198" t="s">
        <v>70</v>
      </c>
      <c r="D258" s="199"/>
      <c r="E258" s="199"/>
      <c r="F258" s="114"/>
      <c r="G258" s="114">
        <v>11610.39</v>
      </c>
      <c r="H258" s="111"/>
    </row>
    <row r="259" spans="1:8" x14ac:dyDescent="0.2">
      <c r="A259" s="112" t="s">
        <v>71</v>
      </c>
      <c r="B259" s="112"/>
      <c r="C259" s="196" t="s">
        <v>72</v>
      </c>
      <c r="D259" s="197"/>
      <c r="E259" s="197"/>
      <c r="F259" s="110">
        <v>2230</v>
      </c>
      <c r="G259" s="110">
        <f>G260</f>
        <v>1412.4</v>
      </c>
      <c r="H259" s="111">
        <f>G259/F259*100</f>
        <v>63.336322869955161</v>
      </c>
    </row>
    <row r="260" spans="1:8" x14ac:dyDescent="0.2">
      <c r="A260" s="113" t="s">
        <v>73</v>
      </c>
      <c r="B260" s="113" t="s">
        <v>276</v>
      </c>
      <c r="C260" s="198" t="s">
        <v>72</v>
      </c>
      <c r="D260" s="199"/>
      <c r="E260" s="199"/>
      <c r="F260" s="114"/>
      <c r="G260" s="114">
        <v>1412.4</v>
      </c>
      <c r="H260" s="111"/>
    </row>
    <row r="261" spans="1:8" x14ac:dyDescent="0.2">
      <c r="A261" s="112" t="s">
        <v>74</v>
      </c>
      <c r="B261" s="112"/>
      <c r="C261" s="196" t="s">
        <v>397</v>
      </c>
      <c r="D261" s="197"/>
      <c r="E261" s="197"/>
      <c r="F261" s="110">
        <v>3320</v>
      </c>
      <c r="G261" s="110">
        <f>G262</f>
        <v>1911.08</v>
      </c>
      <c r="H261" s="111">
        <f>G261/F261*100</f>
        <v>57.56265060240964</v>
      </c>
    </row>
    <row r="262" spans="1:8" x14ac:dyDescent="0.2">
      <c r="A262" s="113" t="s">
        <v>75</v>
      </c>
      <c r="B262" s="113" t="s">
        <v>277</v>
      </c>
      <c r="C262" s="198" t="s">
        <v>76</v>
      </c>
      <c r="D262" s="199"/>
      <c r="E262" s="199"/>
      <c r="F262" s="114"/>
      <c r="G262" s="114">
        <v>1911.08</v>
      </c>
      <c r="H262" s="111"/>
    </row>
    <row r="263" spans="1:8" x14ac:dyDescent="0.2">
      <c r="A263" s="112" t="s">
        <v>162</v>
      </c>
      <c r="B263" s="112"/>
      <c r="C263" s="196" t="s">
        <v>366</v>
      </c>
      <c r="D263" s="197"/>
      <c r="E263" s="197"/>
      <c r="F263" s="110">
        <f>F264</f>
        <v>1060</v>
      </c>
      <c r="G263" s="110">
        <f>G264</f>
        <v>801.85</v>
      </c>
      <c r="H263" s="111">
        <f>G263/F263*100</f>
        <v>75.646226415094347</v>
      </c>
    </row>
    <row r="264" spans="1:8" x14ac:dyDescent="0.2">
      <c r="A264" s="112" t="s">
        <v>77</v>
      </c>
      <c r="B264" s="112"/>
      <c r="C264" s="196" t="s">
        <v>358</v>
      </c>
      <c r="D264" s="197"/>
      <c r="E264" s="197"/>
      <c r="F264" s="110">
        <v>1060</v>
      </c>
      <c r="G264" s="110">
        <f>G266</f>
        <v>801.85</v>
      </c>
      <c r="H264" s="111">
        <f>G264/F264*100</f>
        <v>75.646226415094347</v>
      </c>
    </row>
    <row r="265" spans="1:8" x14ac:dyDescent="0.2">
      <c r="A265" s="113" t="s">
        <v>78</v>
      </c>
      <c r="B265" s="113" t="s">
        <v>278</v>
      </c>
      <c r="C265" s="198" t="s">
        <v>79</v>
      </c>
      <c r="D265" s="199"/>
      <c r="E265" s="199"/>
      <c r="F265" s="114"/>
      <c r="G265" s="115">
        <v>4478.1000000000004</v>
      </c>
      <c r="H265" s="111"/>
    </row>
    <row r="266" spans="1:8" x14ac:dyDescent="0.2">
      <c r="A266" s="113">
        <v>3121</v>
      </c>
      <c r="B266" s="113" t="s">
        <v>278</v>
      </c>
      <c r="C266" s="198" t="s">
        <v>377</v>
      </c>
      <c r="D266" s="199"/>
      <c r="E266" s="199"/>
      <c r="F266" s="114"/>
      <c r="G266" s="114">
        <v>801.85</v>
      </c>
      <c r="H266" s="111"/>
    </row>
  </sheetData>
  <autoFilter ref="A4:H266" xr:uid="{48174BDD-5DC2-4894-9122-183DD9C5D0ED}">
    <filterColumn colId="0" showButton="0"/>
    <filterColumn colId="1" showButton="0"/>
    <filterColumn colId="2" showButton="0"/>
    <filterColumn colId="3" showButton="0"/>
    <filterColumn colId="4" showButton="0"/>
  </autoFilter>
  <mergeCells count="259">
    <mergeCell ref="C32:E32"/>
    <mergeCell ref="C33:E33"/>
    <mergeCell ref="C135:E135"/>
    <mergeCell ref="C120:E120"/>
    <mergeCell ref="C134:E134"/>
    <mergeCell ref="C266:E266"/>
    <mergeCell ref="A3:E3"/>
    <mergeCell ref="A1:H2"/>
    <mergeCell ref="A4:E4"/>
    <mergeCell ref="A5:E5"/>
    <mergeCell ref="A6:E6"/>
    <mergeCell ref="A7:E7"/>
    <mergeCell ref="A8:E8"/>
    <mergeCell ref="A9:E9"/>
    <mergeCell ref="A10:E10"/>
    <mergeCell ref="A11:E11"/>
    <mergeCell ref="C12:E12"/>
    <mergeCell ref="C13:E13"/>
    <mergeCell ref="C14:E14"/>
    <mergeCell ref="C15:E15"/>
    <mergeCell ref="C16:E16"/>
    <mergeCell ref="C17:E17"/>
    <mergeCell ref="A18:E18"/>
    <mergeCell ref="A19:E19"/>
    <mergeCell ref="C20:E20"/>
    <mergeCell ref="C21:E21"/>
    <mergeCell ref="C22:E22"/>
    <mergeCell ref="C23:E23"/>
    <mergeCell ref="A24:E24"/>
    <mergeCell ref="C25:E25"/>
    <mergeCell ref="C26:E26"/>
    <mergeCell ref="C27:E27"/>
    <mergeCell ref="C29:E29"/>
    <mergeCell ref="A34:E34"/>
    <mergeCell ref="C35:E35"/>
    <mergeCell ref="C36:E36"/>
    <mergeCell ref="C37:E37"/>
    <mergeCell ref="C38:E38"/>
    <mergeCell ref="A39:E39"/>
    <mergeCell ref="C40:E40"/>
    <mergeCell ref="C41:E41"/>
    <mergeCell ref="C42:E42"/>
    <mergeCell ref="C43:E43"/>
    <mergeCell ref="A44:E44"/>
    <mergeCell ref="C45:E45"/>
    <mergeCell ref="C46:E46"/>
    <mergeCell ref="C47:E47"/>
    <mergeCell ref="C48:E48"/>
    <mergeCell ref="A54:E54"/>
    <mergeCell ref="A55:E55"/>
    <mergeCell ref="C56:E56"/>
    <mergeCell ref="C57:E57"/>
    <mergeCell ref="C58:E58"/>
    <mergeCell ref="C59:E59"/>
    <mergeCell ref="A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A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A105:E105"/>
    <mergeCell ref="C106:E106"/>
    <mergeCell ref="C107:E107"/>
    <mergeCell ref="C108:E108"/>
    <mergeCell ref="C109:E109"/>
    <mergeCell ref="A110:E110"/>
    <mergeCell ref="C111:E111"/>
    <mergeCell ref="C112:E112"/>
    <mergeCell ref="C113:E113"/>
    <mergeCell ref="C114:E114"/>
    <mergeCell ref="C116:E116"/>
    <mergeCell ref="C117:E117"/>
    <mergeCell ref="C118:E118"/>
    <mergeCell ref="C119:E119"/>
    <mergeCell ref="C121:E121"/>
    <mergeCell ref="C115:E115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7:E137"/>
    <mergeCell ref="C138:E138"/>
    <mergeCell ref="C139:E139"/>
    <mergeCell ref="C143:E143"/>
    <mergeCell ref="C144:E144"/>
    <mergeCell ref="C145:E145"/>
    <mergeCell ref="C140:E140"/>
    <mergeCell ref="C141:E141"/>
    <mergeCell ref="C142:E142"/>
    <mergeCell ref="C146:E146"/>
    <mergeCell ref="A147:E147"/>
    <mergeCell ref="C148:E148"/>
    <mergeCell ref="C149:E149"/>
    <mergeCell ref="C150:E150"/>
    <mergeCell ref="C151:E151"/>
    <mergeCell ref="C152:E152"/>
    <mergeCell ref="C153:E153"/>
    <mergeCell ref="A154:E154"/>
    <mergeCell ref="C172:E172"/>
    <mergeCell ref="C173:E173"/>
    <mergeCell ref="C155:E155"/>
    <mergeCell ref="C156:E156"/>
    <mergeCell ref="C157:E157"/>
    <mergeCell ref="C158:E158"/>
    <mergeCell ref="C159:E159"/>
    <mergeCell ref="C160:E160"/>
    <mergeCell ref="C161:E161"/>
    <mergeCell ref="C163:E163"/>
    <mergeCell ref="C164:E164"/>
    <mergeCell ref="C202:E202"/>
    <mergeCell ref="C203:E203"/>
    <mergeCell ref="C205:E205"/>
    <mergeCell ref="C206:E206"/>
    <mergeCell ref="C207:E207"/>
    <mergeCell ref="C208:E208"/>
    <mergeCell ref="C174:E174"/>
    <mergeCell ref="C175:E175"/>
    <mergeCell ref="A176:E176"/>
    <mergeCell ref="C177:E177"/>
    <mergeCell ref="C178:E178"/>
    <mergeCell ref="C179:E179"/>
    <mergeCell ref="C180:E180"/>
    <mergeCell ref="C181:E181"/>
    <mergeCell ref="C182:E18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A248:E248"/>
    <mergeCell ref="C249:E249"/>
    <mergeCell ref="C250:E250"/>
    <mergeCell ref="C251:E251"/>
    <mergeCell ref="C252:E252"/>
    <mergeCell ref="A253:E253"/>
    <mergeCell ref="A232:E232"/>
    <mergeCell ref="C233:E233"/>
    <mergeCell ref="C234:E234"/>
    <mergeCell ref="C235:E235"/>
    <mergeCell ref="C236:E236"/>
    <mergeCell ref="C237:E237"/>
    <mergeCell ref="C238:E238"/>
    <mergeCell ref="A239:E239"/>
    <mergeCell ref="C240:E240"/>
    <mergeCell ref="C263:E263"/>
    <mergeCell ref="C264:E264"/>
    <mergeCell ref="C265:E265"/>
    <mergeCell ref="A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30:E30"/>
    <mergeCell ref="C31:E31"/>
    <mergeCell ref="A49:E49"/>
    <mergeCell ref="C50:E50"/>
    <mergeCell ref="C51:E51"/>
    <mergeCell ref="C52:E52"/>
    <mergeCell ref="C53:E53"/>
    <mergeCell ref="A191:E191"/>
    <mergeCell ref="A192:E192"/>
    <mergeCell ref="A183:E183"/>
    <mergeCell ref="A184:E184"/>
    <mergeCell ref="C185:E185"/>
    <mergeCell ref="C186:E186"/>
    <mergeCell ref="C187:E187"/>
    <mergeCell ref="C188:E188"/>
    <mergeCell ref="C189:E189"/>
    <mergeCell ref="C190:E190"/>
    <mergeCell ref="C165:E165"/>
    <mergeCell ref="C166:E166"/>
    <mergeCell ref="C167:E167"/>
    <mergeCell ref="C168:E168"/>
    <mergeCell ref="C169:E169"/>
    <mergeCell ref="C170:E170"/>
    <mergeCell ref="C171:E171"/>
    <mergeCell ref="C209:E209"/>
    <mergeCell ref="C210:E210"/>
    <mergeCell ref="C211:E211"/>
    <mergeCell ref="C212:E212"/>
    <mergeCell ref="C213:E213"/>
    <mergeCell ref="C214:E214"/>
    <mergeCell ref="C215:E215"/>
    <mergeCell ref="A204:E204"/>
    <mergeCell ref="A219:E219"/>
    <mergeCell ref="C229:E229"/>
    <mergeCell ref="C230:E230"/>
    <mergeCell ref="C244:E244"/>
    <mergeCell ref="C245:E245"/>
    <mergeCell ref="C246:E246"/>
    <mergeCell ref="C247:E247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41:E241"/>
    <mergeCell ref="C242:E242"/>
    <mergeCell ref="C243:E243"/>
    <mergeCell ref="A231:E2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202"/>
  <sheetViews>
    <sheetView workbookViewId="0">
      <selection activeCell="AC12" sqref="AC12"/>
    </sheetView>
  </sheetViews>
  <sheetFormatPr defaultRowHeight="12.75" x14ac:dyDescent="0.2"/>
  <cols>
    <col min="1" max="1" width="1.28515625" customWidth="1"/>
    <col min="2" max="2" width="6.7109375" customWidth="1"/>
    <col min="3" max="3" width="8" customWidth="1"/>
    <col min="4" max="4" width="17.42578125" customWidth="1"/>
    <col min="5" max="5" width="6.7109375" customWidth="1"/>
    <col min="6" max="6" width="14.7109375" customWidth="1"/>
    <col min="7" max="7" width="6.7109375" customWidth="1"/>
    <col min="8" max="8" width="2.5703125" customWidth="1"/>
    <col min="9" max="9" width="1.28515625" customWidth="1"/>
    <col min="10" max="10" width="8" customWidth="1"/>
    <col min="11" max="12" width="12.140625" customWidth="1"/>
    <col min="13" max="14" width="1.28515625" customWidth="1"/>
    <col min="15" max="15" width="8.140625" customWidth="1"/>
    <col min="16" max="16" width="10.85546875" customWidth="1"/>
    <col min="17" max="17" width="10.42578125" customWidth="1"/>
    <col min="18" max="18" width="4.28515625" customWidth="1"/>
    <col min="19" max="19" width="1" customWidth="1"/>
    <col min="20" max="20" width="8.28515625" customWidth="1"/>
    <col min="21" max="21" width="0" hidden="1" customWidth="1"/>
    <col min="22" max="22" width="1.140625" customWidth="1"/>
    <col min="23" max="23" width="7" customWidth="1"/>
    <col min="24" max="24" width="8.5703125" customWidth="1"/>
    <col min="25" max="26" width="0" hidden="1" customWidth="1"/>
    <col min="27" max="27" width="0.7109375" customWidth="1"/>
  </cols>
  <sheetData>
    <row r="1" spans="2:25" ht="7.15" customHeight="1" x14ac:dyDescent="0.2"/>
    <row r="2" spans="2:25" x14ac:dyDescent="0.2">
      <c r="B2" s="242" t="s">
        <v>140</v>
      </c>
      <c r="C2" s="142"/>
      <c r="D2" s="142"/>
      <c r="E2" s="142"/>
      <c r="F2" s="142"/>
      <c r="J2" s="247" t="s">
        <v>328</v>
      </c>
      <c r="K2" s="247"/>
      <c r="L2" s="247"/>
      <c r="T2" s="10"/>
      <c r="W2" s="243"/>
      <c r="X2" s="142"/>
    </row>
    <row r="3" spans="2:25" ht="14.1" customHeight="1" x14ac:dyDescent="0.2">
      <c r="B3" s="242"/>
      <c r="C3" s="142"/>
      <c r="D3" s="142"/>
      <c r="E3" s="142"/>
      <c r="J3" s="247"/>
      <c r="K3" s="247"/>
      <c r="L3" s="247"/>
      <c r="R3" s="244"/>
      <c r="S3" s="142"/>
      <c r="T3" s="142"/>
      <c r="W3" s="245"/>
      <c r="X3" s="142"/>
    </row>
    <row r="4" spans="2:25" x14ac:dyDescent="0.2">
      <c r="B4" s="242" t="s">
        <v>141</v>
      </c>
      <c r="C4" s="142"/>
      <c r="D4" s="142"/>
      <c r="J4" s="246" t="s">
        <v>142</v>
      </c>
      <c r="K4" s="142"/>
      <c r="L4" s="142"/>
      <c r="M4" s="142"/>
    </row>
    <row r="5" spans="2:25" x14ac:dyDescent="0.2">
      <c r="J5" s="142"/>
      <c r="K5" s="142"/>
      <c r="L5" s="142"/>
      <c r="M5" s="142"/>
    </row>
    <row r="6" spans="2:25" ht="3.4" customHeight="1" x14ac:dyDescent="0.2"/>
    <row r="7" spans="2:25" ht="18" customHeight="1" x14ac:dyDescent="0.2">
      <c r="I7" s="236" t="s">
        <v>282</v>
      </c>
      <c r="J7" s="142"/>
      <c r="K7" s="142"/>
      <c r="L7" s="142"/>
      <c r="M7" s="142"/>
      <c r="N7" s="142"/>
    </row>
    <row r="8" spans="2:25" ht="3.4" customHeight="1" x14ac:dyDescent="0.2"/>
    <row r="9" spans="2:25" ht="14.1" customHeight="1" x14ac:dyDescent="0.2">
      <c r="I9" s="237"/>
      <c r="J9" s="142"/>
      <c r="K9" s="142"/>
      <c r="L9" s="142"/>
      <c r="M9" s="142"/>
      <c r="N9" s="142"/>
    </row>
    <row r="10" spans="2:25" ht="7.15" customHeight="1" thickBot="1" x14ac:dyDescent="0.25"/>
    <row r="11" spans="2:25" ht="24" thickTop="1" thickBot="1" x14ac:dyDescent="0.25">
      <c r="B11" s="11" t="s">
        <v>143</v>
      </c>
      <c r="C11" s="11" t="s">
        <v>144</v>
      </c>
      <c r="D11" s="238" t="s">
        <v>145</v>
      </c>
      <c r="E11" s="239"/>
      <c r="F11" s="239"/>
      <c r="G11" s="239"/>
      <c r="H11" s="240" t="s">
        <v>146</v>
      </c>
      <c r="I11" s="239"/>
      <c r="J11" s="239"/>
      <c r="K11" s="12" t="s">
        <v>147</v>
      </c>
      <c r="L11" s="12" t="s">
        <v>148</v>
      </c>
      <c r="M11" s="240" t="s">
        <v>149</v>
      </c>
      <c r="N11" s="239"/>
      <c r="O11" s="239"/>
      <c r="P11" s="12" t="s">
        <v>150</v>
      </c>
      <c r="Q11" s="240" t="s">
        <v>151</v>
      </c>
      <c r="R11" s="239"/>
      <c r="S11" s="240" t="s">
        <v>152</v>
      </c>
      <c r="T11" s="239"/>
      <c r="U11" s="239"/>
      <c r="V11" s="239"/>
      <c r="W11" s="239"/>
      <c r="X11" s="240" t="s">
        <v>153</v>
      </c>
      <c r="Y11" s="239"/>
    </row>
    <row r="12" spans="2:25" ht="13.5" thickTop="1" x14ac:dyDescent="0.2">
      <c r="B12" s="248" t="s">
        <v>154</v>
      </c>
      <c r="C12" s="142"/>
      <c r="D12" s="142"/>
      <c r="E12" s="142"/>
      <c r="F12" s="142"/>
      <c r="G12" s="142"/>
      <c r="H12" s="249">
        <v>6533351.9299999997</v>
      </c>
      <c r="I12" s="142"/>
      <c r="J12" s="142"/>
      <c r="K12" s="13">
        <v>4667520.58</v>
      </c>
      <c r="L12" s="13">
        <v>1865831.35</v>
      </c>
      <c r="M12" s="249">
        <v>936718.28</v>
      </c>
      <c r="N12" s="142"/>
      <c r="O12" s="142"/>
      <c r="P12" s="13">
        <v>3730802.3</v>
      </c>
      <c r="Q12" s="249">
        <v>0</v>
      </c>
      <c r="R12" s="142"/>
      <c r="S12" s="249">
        <v>1865831.35</v>
      </c>
      <c r="T12" s="142"/>
      <c r="U12" s="142"/>
      <c r="V12" s="142"/>
      <c r="W12" s="142"/>
      <c r="X12" s="227">
        <v>0.71399999999999997</v>
      </c>
      <c r="Y12" s="142"/>
    </row>
    <row r="13" spans="2:25" x14ac:dyDescent="0.2">
      <c r="B13" s="248" t="s">
        <v>155</v>
      </c>
      <c r="C13" s="142"/>
      <c r="D13" s="142"/>
      <c r="E13" s="142"/>
      <c r="F13" s="142"/>
      <c r="G13" s="142"/>
      <c r="H13" s="249">
        <v>6533351.9299999997</v>
      </c>
      <c r="I13" s="142"/>
      <c r="J13" s="142"/>
      <c r="K13" s="13">
        <v>4667520.58</v>
      </c>
      <c r="L13" s="13">
        <v>1865831.35</v>
      </c>
      <c r="M13" s="249">
        <v>936718.28</v>
      </c>
      <c r="N13" s="142"/>
      <c r="O13" s="142"/>
      <c r="P13" s="13">
        <v>3730802.3</v>
      </c>
      <c r="Q13" s="249">
        <v>0</v>
      </c>
      <c r="R13" s="142"/>
      <c r="S13" s="249">
        <v>1865831.35</v>
      </c>
      <c r="T13" s="142"/>
      <c r="U13" s="142"/>
      <c r="V13" s="142"/>
      <c r="W13" s="142"/>
      <c r="X13" s="227">
        <v>0.71399999999999997</v>
      </c>
      <c r="Y13" s="142"/>
    </row>
    <row r="14" spans="2:25" x14ac:dyDescent="0.2">
      <c r="B14" s="228" t="s">
        <v>156</v>
      </c>
      <c r="C14" s="142"/>
      <c r="D14" s="142"/>
      <c r="E14" s="142"/>
      <c r="F14" s="142"/>
      <c r="G14" s="142"/>
      <c r="H14" s="229">
        <v>6533351.9299999997</v>
      </c>
      <c r="I14" s="142"/>
      <c r="J14" s="142"/>
      <c r="K14" s="14">
        <v>4667520.58</v>
      </c>
      <c r="L14" s="14">
        <v>1865831.35</v>
      </c>
      <c r="M14" s="229">
        <v>936718.28</v>
      </c>
      <c r="N14" s="142"/>
      <c r="O14" s="142"/>
      <c r="P14" s="14">
        <v>3730802.3</v>
      </c>
      <c r="Q14" s="229">
        <v>0</v>
      </c>
      <c r="R14" s="142"/>
      <c r="S14" s="229">
        <v>1865831.35</v>
      </c>
      <c r="T14" s="142"/>
      <c r="U14" s="142"/>
      <c r="V14" s="142"/>
      <c r="W14" s="142"/>
      <c r="X14" s="230">
        <v>0.71399999999999997</v>
      </c>
      <c r="Y14" s="142"/>
    </row>
    <row r="15" spans="2:25" x14ac:dyDescent="0.2">
      <c r="B15" s="241" t="s">
        <v>157</v>
      </c>
      <c r="C15" s="142"/>
      <c r="D15" s="142"/>
      <c r="E15" s="142"/>
      <c r="F15" s="142"/>
      <c r="G15" s="142"/>
      <c r="H15" s="231">
        <v>6533351.9299999997</v>
      </c>
      <c r="I15" s="142"/>
      <c r="J15" s="142"/>
      <c r="K15" s="15">
        <v>4667520.58</v>
      </c>
      <c r="L15" s="15">
        <v>1865831.35</v>
      </c>
      <c r="M15" s="231">
        <v>936718.28</v>
      </c>
      <c r="N15" s="142"/>
      <c r="O15" s="142"/>
      <c r="P15" s="15">
        <v>3730802.3</v>
      </c>
      <c r="Q15" s="231">
        <v>0</v>
      </c>
      <c r="R15" s="142"/>
      <c r="S15" s="231">
        <v>1865831.35</v>
      </c>
      <c r="T15" s="142"/>
      <c r="U15" s="142"/>
      <c r="V15" s="142"/>
      <c r="W15" s="142"/>
      <c r="X15" s="232">
        <v>0.71399999999999997</v>
      </c>
      <c r="Y15" s="142"/>
    </row>
    <row r="16" spans="2:25" x14ac:dyDescent="0.2">
      <c r="B16" s="233" t="s">
        <v>158</v>
      </c>
      <c r="C16" s="142"/>
      <c r="D16" s="142"/>
      <c r="E16" s="142"/>
      <c r="F16" s="142"/>
      <c r="G16" s="142"/>
      <c r="H16" s="234">
        <v>6533351.9299999997</v>
      </c>
      <c r="I16" s="142"/>
      <c r="J16" s="142"/>
      <c r="K16" s="16">
        <v>4667520.58</v>
      </c>
      <c r="L16" s="16">
        <v>1865831.35</v>
      </c>
      <c r="M16" s="234">
        <v>936718.28</v>
      </c>
      <c r="N16" s="142"/>
      <c r="O16" s="142"/>
      <c r="P16" s="16">
        <v>3730802.3</v>
      </c>
      <c r="Q16" s="234">
        <v>0</v>
      </c>
      <c r="R16" s="142"/>
      <c r="S16" s="234">
        <v>1865831.35</v>
      </c>
      <c r="T16" s="142"/>
      <c r="U16" s="142"/>
      <c r="V16" s="142"/>
      <c r="W16" s="142"/>
      <c r="X16" s="235">
        <v>0.71399999999999997</v>
      </c>
      <c r="Y16" s="142"/>
    </row>
    <row r="17" spans="2:25" x14ac:dyDescent="0.2">
      <c r="B17" s="223" t="s">
        <v>159</v>
      </c>
      <c r="C17" s="142"/>
      <c r="D17" s="142"/>
      <c r="E17" s="142"/>
      <c r="F17" s="142"/>
      <c r="G17" s="142"/>
      <c r="H17" s="221">
        <v>228</v>
      </c>
      <c r="I17" s="142"/>
      <c r="J17" s="142"/>
      <c r="K17" s="17">
        <v>228</v>
      </c>
      <c r="L17" s="17">
        <v>0</v>
      </c>
      <c r="M17" s="221">
        <v>228</v>
      </c>
      <c r="N17" s="142"/>
      <c r="O17" s="142"/>
      <c r="P17" s="17">
        <v>0</v>
      </c>
      <c r="Q17" s="221">
        <v>0</v>
      </c>
      <c r="R17" s="142"/>
      <c r="S17" s="221">
        <v>0</v>
      </c>
      <c r="T17" s="142"/>
      <c r="U17" s="142"/>
      <c r="V17" s="142"/>
      <c r="W17" s="142"/>
      <c r="X17" s="222">
        <v>1</v>
      </c>
      <c r="Y17" s="142"/>
    </row>
    <row r="18" spans="2:25" x14ac:dyDescent="0.2">
      <c r="B18" s="226" t="s">
        <v>160</v>
      </c>
      <c r="C18" s="142"/>
      <c r="D18" s="142"/>
      <c r="E18" s="142"/>
      <c r="F18" s="142"/>
      <c r="G18" s="142"/>
      <c r="H18" s="224">
        <v>228</v>
      </c>
      <c r="I18" s="142"/>
      <c r="J18" s="142"/>
      <c r="K18" s="18">
        <v>228</v>
      </c>
      <c r="L18" s="18">
        <v>0</v>
      </c>
      <c r="M18" s="224">
        <v>228</v>
      </c>
      <c r="N18" s="142"/>
      <c r="O18" s="142"/>
      <c r="P18" s="18">
        <v>0</v>
      </c>
      <c r="Q18" s="224">
        <v>0</v>
      </c>
      <c r="R18" s="142"/>
      <c r="S18" s="224">
        <v>0</v>
      </c>
      <c r="T18" s="142"/>
      <c r="U18" s="142"/>
      <c r="V18" s="142"/>
      <c r="W18" s="142"/>
      <c r="X18" s="225">
        <v>1</v>
      </c>
      <c r="Y18" s="142"/>
    </row>
    <row r="19" spans="2:25" x14ac:dyDescent="0.2">
      <c r="B19" s="19" t="s">
        <v>2</v>
      </c>
      <c r="C19" s="19"/>
      <c r="D19" s="215" t="s">
        <v>161</v>
      </c>
      <c r="E19" s="142"/>
      <c r="F19" s="142"/>
      <c r="G19" s="142"/>
      <c r="H19" s="216">
        <v>228</v>
      </c>
      <c r="I19" s="142"/>
      <c r="J19" s="142"/>
      <c r="K19" s="20">
        <v>228</v>
      </c>
      <c r="L19" s="20">
        <v>0</v>
      </c>
      <c r="M19" s="216">
        <v>228</v>
      </c>
      <c r="N19" s="142"/>
      <c r="O19" s="142"/>
      <c r="P19" s="20">
        <v>0</v>
      </c>
      <c r="Q19" s="216">
        <v>0</v>
      </c>
      <c r="R19" s="142"/>
      <c r="S19" s="216">
        <v>0</v>
      </c>
      <c r="T19" s="142"/>
      <c r="U19" s="142"/>
      <c r="V19" s="142"/>
      <c r="W19" s="142"/>
      <c r="X19" s="217">
        <v>1</v>
      </c>
      <c r="Y19" s="142"/>
    </row>
    <row r="20" spans="2:25" x14ac:dyDescent="0.2">
      <c r="B20" s="19" t="s">
        <v>162</v>
      </c>
      <c r="C20" s="19"/>
      <c r="D20" s="215" t="s">
        <v>163</v>
      </c>
      <c r="E20" s="142"/>
      <c r="F20" s="142"/>
      <c r="G20" s="142"/>
      <c r="H20" s="216">
        <v>228</v>
      </c>
      <c r="I20" s="142"/>
      <c r="J20" s="142"/>
      <c r="K20" s="20">
        <v>228</v>
      </c>
      <c r="L20" s="20">
        <v>0</v>
      </c>
      <c r="M20" s="216">
        <v>228</v>
      </c>
      <c r="N20" s="142"/>
      <c r="O20" s="142"/>
      <c r="P20" s="20">
        <v>0</v>
      </c>
      <c r="Q20" s="216">
        <v>0</v>
      </c>
      <c r="R20" s="142"/>
      <c r="S20" s="216">
        <v>0</v>
      </c>
      <c r="T20" s="142"/>
      <c r="U20" s="142"/>
      <c r="V20" s="142"/>
      <c r="W20" s="142"/>
      <c r="X20" s="217">
        <v>1</v>
      </c>
      <c r="Y20" s="142"/>
    </row>
    <row r="21" spans="2:25" x14ac:dyDescent="0.2">
      <c r="B21" s="19" t="s">
        <v>77</v>
      </c>
      <c r="C21" s="19"/>
      <c r="D21" s="215" t="s">
        <v>164</v>
      </c>
      <c r="E21" s="142"/>
      <c r="F21" s="142"/>
      <c r="G21" s="142"/>
      <c r="H21" s="216">
        <v>0</v>
      </c>
      <c r="I21" s="142"/>
      <c r="J21" s="142"/>
      <c r="K21" s="20">
        <v>0</v>
      </c>
      <c r="L21" s="20">
        <v>0</v>
      </c>
      <c r="M21" s="216">
        <v>0</v>
      </c>
      <c r="N21" s="142"/>
      <c r="O21" s="142"/>
      <c r="P21" s="20">
        <v>0</v>
      </c>
      <c r="Q21" s="216">
        <v>0</v>
      </c>
      <c r="R21" s="142"/>
      <c r="S21" s="216">
        <v>0</v>
      </c>
      <c r="T21" s="142"/>
      <c r="U21" s="142"/>
      <c r="V21" s="142"/>
      <c r="W21" s="142"/>
      <c r="X21" s="217">
        <v>0</v>
      </c>
      <c r="Y21" s="142"/>
    </row>
    <row r="22" spans="2:25" x14ac:dyDescent="0.2">
      <c r="B22" s="21" t="s">
        <v>165</v>
      </c>
      <c r="C22" s="21" t="s">
        <v>166</v>
      </c>
      <c r="D22" s="220" t="s">
        <v>283</v>
      </c>
      <c r="E22" s="142"/>
      <c r="F22" s="142"/>
      <c r="G22" s="142"/>
      <c r="H22" s="218">
        <v>0</v>
      </c>
      <c r="I22" s="142"/>
      <c r="J22" s="142"/>
      <c r="K22" s="22">
        <v>0</v>
      </c>
      <c r="L22" s="22">
        <v>0</v>
      </c>
      <c r="M22" s="218">
        <v>0</v>
      </c>
      <c r="N22" s="142"/>
      <c r="O22" s="142"/>
      <c r="P22" s="22">
        <v>0</v>
      </c>
      <c r="Q22" s="218">
        <v>0</v>
      </c>
      <c r="R22" s="142"/>
      <c r="S22" s="218">
        <v>0</v>
      </c>
      <c r="T22" s="142"/>
      <c r="U22" s="142"/>
      <c r="V22" s="142"/>
      <c r="W22" s="142"/>
      <c r="X22" s="219">
        <v>0</v>
      </c>
      <c r="Y22" s="142"/>
    </row>
    <row r="23" spans="2:25" x14ac:dyDescent="0.2">
      <c r="B23" s="19" t="s">
        <v>108</v>
      </c>
      <c r="C23" s="19"/>
      <c r="D23" s="215" t="s">
        <v>168</v>
      </c>
      <c r="E23" s="142"/>
      <c r="F23" s="142"/>
      <c r="G23" s="142"/>
      <c r="H23" s="216">
        <v>228</v>
      </c>
      <c r="I23" s="142"/>
      <c r="J23" s="142"/>
      <c r="K23" s="20">
        <v>228</v>
      </c>
      <c r="L23" s="20">
        <v>0</v>
      </c>
      <c r="M23" s="216">
        <v>228</v>
      </c>
      <c r="N23" s="142"/>
      <c r="O23" s="142"/>
      <c r="P23" s="20">
        <v>0</v>
      </c>
      <c r="Q23" s="216">
        <v>0</v>
      </c>
      <c r="R23" s="142"/>
      <c r="S23" s="216">
        <v>0</v>
      </c>
      <c r="T23" s="142"/>
      <c r="U23" s="142"/>
      <c r="V23" s="142"/>
      <c r="W23" s="142"/>
      <c r="X23" s="217">
        <v>1</v>
      </c>
      <c r="Y23" s="142"/>
    </row>
    <row r="24" spans="2:25" x14ac:dyDescent="0.2">
      <c r="B24" s="21" t="s">
        <v>111</v>
      </c>
      <c r="C24" s="21" t="s">
        <v>169</v>
      </c>
      <c r="D24" s="220" t="s">
        <v>109</v>
      </c>
      <c r="E24" s="142"/>
      <c r="F24" s="142"/>
      <c r="G24" s="142"/>
      <c r="H24" s="218">
        <v>228</v>
      </c>
      <c r="I24" s="142"/>
      <c r="J24" s="142"/>
      <c r="K24" s="22">
        <v>228</v>
      </c>
      <c r="L24" s="22">
        <v>0</v>
      </c>
      <c r="M24" s="218">
        <v>228</v>
      </c>
      <c r="N24" s="142"/>
      <c r="O24" s="142"/>
      <c r="P24" s="22">
        <v>0</v>
      </c>
      <c r="Q24" s="218">
        <v>0</v>
      </c>
      <c r="R24" s="142"/>
      <c r="S24" s="218">
        <v>0</v>
      </c>
      <c r="T24" s="142"/>
      <c r="U24" s="142"/>
      <c r="V24" s="142"/>
      <c r="W24" s="142"/>
      <c r="X24" s="219">
        <v>1</v>
      </c>
      <c r="Y24" s="142"/>
    </row>
    <row r="25" spans="2:25" x14ac:dyDescent="0.2">
      <c r="B25" s="223" t="s">
        <v>170</v>
      </c>
      <c r="C25" s="142"/>
      <c r="D25" s="142"/>
      <c r="E25" s="142"/>
      <c r="F25" s="142"/>
      <c r="G25" s="142"/>
      <c r="H25" s="221">
        <v>273290</v>
      </c>
      <c r="I25" s="142"/>
      <c r="J25" s="142"/>
      <c r="K25" s="17">
        <v>156147.85999999999</v>
      </c>
      <c r="L25" s="17">
        <v>117142.14</v>
      </c>
      <c r="M25" s="221">
        <v>79219.59</v>
      </c>
      <c r="N25" s="142"/>
      <c r="O25" s="142"/>
      <c r="P25" s="17">
        <v>76928.27</v>
      </c>
      <c r="Q25" s="221">
        <v>0</v>
      </c>
      <c r="R25" s="142"/>
      <c r="S25" s="221">
        <v>117142.14</v>
      </c>
      <c r="T25" s="142"/>
      <c r="U25" s="142"/>
      <c r="V25" s="142"/>
      <c r="W25" s="142"/>
      <c r="X25" s="222">
        <v>0.57099999999999995</v>
      </c>
      <c r="Y25" s="142"/>
    </row>
    <row r="26" spans="2:25" x14ac:dyDescent="0.2">
      <c r="B26" s="226" t="s">
        <v>160</v>
      </c>
      <c r="C26" s="142"/>
      <c r="D26" s="142"/>
      <c r="E26" s="142"/>
      <c r="F26" s="142"/>
      <c r="G26" s="142"/>
      <c r="H26" s="224">
        <v>35500</v>
      </c>
      <c r="I26" s="142"/>
      <c r="J26" s="142"/>
      <c r="K26" s="18">
        <v>34206.9</v>
      </c>
      <c r="L26" s="18">
        <v>1293.0999999999999</v>
      </c>
      <c r="M26" s="224">
        <v>27111.63</v>
      </c>
      <c r="N26" s="142"/>
      <c r="O26" s="142"/>
      <c r="P26" s="18">
        <v>7095.27</v>
      </c>
      <c r="Q26" s="224">
        <v>0</v>
      </c>
      <c r="R26" s="142"/>
      <c r="S26" s="224">
        <v>1293.0999999999999</v>
      </c>
      <c r="T26" s="142"/>
      <c r="U26" s="142"/>
      <c r="V26" s="142"/>
      <c r="W26" s="142"/>
      <c r="X26" s="225">
        <v>0.96399999999999997</v>
      </c>
      <c r="Y26" s="142"/>
    </row>
    <row r="27" spans="2:25" x14ac:dyDescent="0.2">
      <c r="B27" s="19" t="s">
        <v>2</v>
      </c>
      <c r="C27" s="19"/>
      <c r="D27" s="215" t="s">
        <v>161</v>
      </c>
      <c r="E27" s="142"/>
      <c r="F27" s="142"/>
      <c r="G27" s="142"/>
      <c r="H27" s="216">
        <v>35500</v>
      </c>
      <c r="I27" s="142"/>
      <c r="J27" s="142"/>
      <c r="K27" s="20">
        <v>34206.9</v>
      </c>
      <c r="L27" s="20">
        <v>1293.0999999999999</v>
      </c>
      <c r="M27" s="216">
        <v>27111.63</v>
      </c>
      <c r="N27" s="142"/>
      <c r="O27" s="142"/>
      <c r="P27" s="20">
        <v>7095.27</v>
      </c>
      <c r="Q27" s="216">
        <v>0</v>
      </c>
      <c r="R27" s="142"/>
      <c r="S27" s="216">
        <v>1293.0999999999999</v>
      </c>
      <c r="T27" s="142"/>
      <c r="U27" s="142"/>
      <c r="V27" s="142"/>
      <c r="W27" s="142"/>
      <c r="X27" s="217">
        <v>0.96399999999999997</v>
      </c>
      <c r="Y27" s="142"/>
    </row>
    <row r="28" spans="2:25" x14ac:dyDescent="0.2">
      <c r="B28" s="19" t="s">
        <v>162</v>
      </c>
      <c r="C28" s="19"/>
      <c r="D28" s="215" t="s">
        <v>163</v>
      </c>
      <c r="E28" s="142"/>
      <c r="F28" s="142"/>
      <c r="G28" s="142"/>
      <c r="H28" s="216">
        <v>35500</v>
      </c>
      <c r="I28" s="142"/>
      <c r="J28" s="142"/>
      <c r="K28" s="20">
        <v>34206.9</v>
      </c>
      <c r="L28" s="20">
        <v>1293.0999999999999</v>
      </c>
      <c r="M28" s="216">
        <v>27111.63</v>
      </c>
      <c r="N28" s="142"/>
      <c r="O28" s="142"/>
      <c r="P28" s="20">
        <v>7095.27</v>
      </c>
      <c r="Q28" s="216">
        <v>0</v>
      </c>
      <c r="R28" s="142"/>
      <c r="S28" s="216">
        <v>1293.0999999999999</v>
      </c>
      <c r="T28" s="142"/>
      <c r="U28" s="142"/>
      <c r="V28" s="142"/>
      <c r="W28" s="142"/>
      <c r="X28" s="217">
        <v>0.96399999999999997</v>
      </c>
      <c r="Y28" s="142"/>
    </row>
    <row r="29" spans="2:25" x14ac:dyDescent="0.2">
      <c r="B29" s="19" t="s">
        <v>88</v>
      </c>
      <c r="C29" s="19"/>
      <c r="D29" s="215" t="s">
        <v>171</v>
      </c>
      <c r="E29" s="142"/>
      <c r="F29" s="142"/>
      <c r="G29" s="142"/>
      <c r="H29" s="216">
        <v>35500</v>
      </c>
      <c r="I29" s="142"/>
      <c r="J29" s="142"/>
      <c r="K29" s="20">
        <v>34206.9</v>
      </c>
      <c r="L29" s="20">
        <v>1293.0999999999999</v>
      </c>
      <c r="M29" s="216">
        <v>27111.63</v>
      </c>
      <c r="N29" s="142"/>
      <c r="O29" s="142"/>
      <c r="P29" s="20">
        <v>7095.27</v>
      </c>
      <c r="Q29" s="216">
        <v>0</v>
      </c>
      <c r="R29" s="142"/>
      <c r="S29" s="216">
        <v>1293.0999999999999</v>
      </c>
      <c r="T29" s="142"/>
      <c r="U29" s="142"/>
      <c r="V29" s="142"/>
      <c r="W29" s="142"/>
      <c r="X29" s="217">
        <v>0.96399999999999997</v>
      </c>
      <c r="Y29" s="142"/>
    </row>
    <row r="30" spans="2:25" x14ac:dyDescent="0.2">
      <c r="B30" s="21" t="s">
        <v>91</v>
      </c>
      <c r="C30" s="21" t="s">
        <v>172</v>
      </c>
      <c r="D30" s="220" t="s">
        <v>284</v>
      </c>
      <c r="E30" s="142"/>
      <c r="F30" s="142"/>
      <c r="G30" s="142"/>
      <c r="H30" s="218">
        <v>35500</v>
      </c>
      <c r="I30" s="142"/>
      <c r="J30" s="142"/>
      <c r="K30" s="22">
        <v>34206.9</v>
      </c>
      <c r="L30" s="22">
        <v>1293.0999999999999</v>
      </c>
      <c r="M30" s="218">
        <v>27111.63</v>
      </c>
      <c r="N30" s="142"/>
      <c r="O30" s="142"/>
      <c r="P30" s="22">
        <v>7095.27</v>
      </c>
      <c r="Q30" s="218">
        <v>0</v>
      </c>
      <c r="R30" s="142"/>
      <c r="S30" s="218">
        <v>1293.0999999999999</v>
      </c>
      <c r="T30" s="142"/>
      <c r="U30" s="142"/>
      <c r="V30" s="142"/>
      <c r="W30" s="142"/>
      <c r="X30" s="219">
        <v>0.96399999999999997</v>
      </c>
      <c r="Y30" s="142"/>
    </row>
    <row r="31" spans="2:25" x14ac:dyDescent="0.2">
      <c r="B31" s="226" t="s">
        <v>173</v>
      </c>
      <c r="C31" s="142"/>
      <c r="D31" s="142"/>
      <c r="E31" s="142"/>
      <c r="F31" s="142"/>
      <c r="G31" s="142"/>
      <c r="H31" s="224">
        <v>92340</v>
      </c>
      <c r="I31" s="142"/>
      <c r="J31" s="142"/>
      <c r="K31" s="18">
        <v>43216.02</v>
      </c>
      <c r="L31" s="18">
        <v>49123.98</v>
      </c>
      <c r="M31" s="224">
        <v>0</v>
      </c>
      <c r="N31" s="142"/>
      <c r="O31" s="142"/>
      <c r="P31" s="18">
        <v>43216.02</v>
      </c>
      <c r="Q31" s="224">
        <v>0</v>
      </c>
      <c r="R31" s="142"/>
      <c r="S31" s="224">
        <v>49123.98</v>
      </c>
      <c r="T31" s="142"/>
      <c r="U31" s="142"/>
      <c r="V31" s="142"/>
      <c r="W31" s="142"/>
      <c r="X31" s="225">
        <v>0.46800000000000003</v>
      </c>
      <c r="Y31" s="142"/>
    </row>
    <row r="32" spans="2:25" x14ac:dyDescent="0.2">
      <c r="B32" s="19" t="s">
        <v>2</v>
      </c>
      <c r="C32" s="19"/>
      <c r="D32" s="215" t="s">
        <v>161</v>
      </c>
      <c r="E32" s="142"/>
      <c r="F32" s="142"/>
      <c r="G32" s="142"/>
      <c r="H32" s="216">
        <v>92340</v>
      </c>
      <c r="I32" s="142"/>
      <c r="J32" s="142"/>
      <c r="K32" s="20">
        <v>43216.02</v>
      </c>
      <c r="L32" s="20">
        <v>49123.98</v>
      </c>
      <c r="M32" s="216">
        <v>0</v>
      </c>
      <c r="N32" s="142"/>
      <c r="O32" s="142"/>
      <c r="P32" s="20">
        <v>43216.02</v>
      </c>
      <c r="Q32" s="216">
        <v>0</v>
      </c>
      <c r="R32" s="142"/>
      <c r="S32" s="216">
        <v>49123.98</v>
      </c>
      <c r="T32" s="142"/>
      <c r="U32" s="142"/>
      <c r="V32" s="142"/>
      <c r="W32" s="142"/>
      <c r="X32" s="217">
        <v>0.46800000000000003</v>
      </c>
      <c r="Y32" s="142"/>
    </row>
    <row r="33" spans="2:25" x14ac:dyDescent="0.2">
      <c r="B33" s="19" t="s">
        <v>162</v>
      </c>
      <c r="C33" s="19"/>
      <c r="D33" s="215" t="s">
        <v>163</v>
      </c>
      <c r="E33" s="142"/>
      <c r="F33" s="142"/>
      <c r="G33" s="142"/>
      <c r="H33" s="216">
        <v>92340</v>
      </c>
      <c r="I33" s="142"/>
      <c r="J33" s="142"/>
      <c r="K33" s="20">
        <v>43216.02</v>
      </c>
      <c r="L33" s="20">
        <v>49123.98</v>
      </c>
      <c r="M33" s="216">
        <v>0</v>
      </c>
      <c r="N33" s="142"/>
      <c r="O33" s="142"/>
      <c r="P33" s="20">
        <v>43216.02</v>
      </c>
      <c r="Q33" s="216">
        <v>0</v>
      </c>
      <c r="R33" s="142"/>
      <c r="S33" s="216">
        <v>49123.98</v>
      </c>
      <c r="T33" s="142"/>
      <c r="U33" s="142"/>
      <c r="V33" s="142"/>
      <c r="W33" s="142"/>
      <c r="X33" s="217">
        <v>0.46800000000000003</v>
      </c>
      <c r="Y33" s="142"/>
    </row>
    <row r="34" spans="2:25" x14ac:dyDescent="0.2">
      <c r="B34" s="19" t="s">
        <v>88</v>
      </c>
      <c r="C34" s="19"/>
      <c r="D34" s="215" t="s">
        <v>171</v>
      </c>
      <c r="E34" s="142"/>
      <c r="F34" s="142"/>
      <c r="G34" s="142"/>
      <c r="H34" s="216">
        <v>92340</v>
      </c>
      <c r="I34" s="142"/>
      <c r="J34" s="142"/>
      <c r="K34" s="20">
        <v>43216.02</v>
      </c>
      <c r="L34" s="20">
        <v>49123.98</v>
      </c>
      <c r="M34" s="216">
        <v>0</v>
      </c>
      <c r="N34" s="142"/>
      <c r="O34" s="142"/>
      <c r="P34" s="20">
        <v>43216.02</v>
      </c>
      <c r="Q34" s="216">
        <v>0</v>
      </c>
      <c r="R34" s="142"/>
      <c r="S34" s="216">
        <v>49123.98</v>
      </c>
      <c r="T34" s="142"/>
      <c r="U34" s="142"/>
      <c r="V34" s="142"/>
      <c r="W34" s="142"/>
      <c r="X34" s="217">
        <v>0.46800000000000003</v>
      </c>
      <c r="Y34" s="142"/>
    </row>
    <row r="35" spans="2:25" x14ac:dyDescent="0.2">
      <c r="B35" s="21" t="s">
        <v>91</v>
      </c>
      <c r="C35" s="21" t="s">
        <v>174</v>
      </c>
      <c r="D35" s="220" t="s">
        <v>285</v>
      </c>
      <c r="E35" s="142"/>
      <c r="F35" s="142"/>
      <c r="G35" s="142"/>
      <c r="H35" s="218">
        <v>92340</v>
      </c>
      <c r="I35" s="142"/>
      <c r="J35" s="142"/>
      <c r="K35" s="22">
        <v>43216.02</v>
      </c>
      <c r="L35" s="22">
        <v>49123.98</v>
      </c>
      <c r="M35" s="218">
        <v>0</v>
      </c>
      <c r="N35" s="142"/>
      <c r="O35" s="142"/>
      <c r="P35" s="22">
        <v>43216.02</v>
      </c>
      <c r="Q35" s="218">
        <v>0</v>
      </c>
      <c r="R35" s="142"/>
      <c r="S35" s="218">
        <v>49123.98</v>
      </c>
      <c r="T35" s="142"/>
      <c r="U35" s="142"/>
      <c r="V35" s="142"/>
      <c r="W35" s="142"/>
      <c r="X35" s="219">
        <v>0.46800000000000003</v>
      </c>
      <c r="Y35" s="142"/>
    </row>
    <row r="36" spans="2:25" x14ac:dyDescent="0.2">
      <c r="B36" s="226" t="s">
        <v>175</v>
      </c>
      <c r="C36" s="142"/>
      <c r="D36" s="142"/>
      <c r="E36" s="142"/>
      <c r="F36" s="142"/>
      <c r="G36" s="142"/>
      <c r="H36" s="224">
        <v>24000</v>
      </c>
      <c r="I36" s="142"/>
      <c r="J36" s="142"/>
      <c r="K36" s="18">
        <v>12511.73</v>
      </c>
      <c r="L36" s="18">
        <v>11488.27</v>
      </c>
      <c r="M36" s="224">
        <v>11081.52</v>
      </c>
      <c r="N36" s="142"/>
      <c r="O36" s="142"/>
      <c r="P36" s="18">
        <v>1430.21</v>
      </c>
      <c r="Q36" s="224">
        <v>0</v>
      </c>
      <c r="R36" s="142"/>
      <c r="S36" s="224">
        <v>11488.27</v>
      </c>
      <c r="T36" s="142"/>
      <c r="U36" s="142"/>
      <c r="V36" s="142"/>
      <c r="W36" s="142"/>
      <c r="X36" s="225">
        <v>0.52100000000000002</v>
      </c>
      <c r="Y36" s="142"/>
    </row>
    <row r="37" spans="2:25" x14ac:dyDescent="0.2">
      <c r="B37" s="19" t="s">
        <v>2</v>
      </c>
      <c r="C37" s="19"/>
      <c r="D37" s="215" t="s">
        <v>161</v>
      </c>
      <c r="E37" s="142"/>
      <c r="F37" s="142"/>
      <c r="G37" s="142"/>
      <c r="H37" s="216">
        <v>24000</v>
      </c>
      <c r="I37" s="142"/>
      <c r="J37" s="142"/>
      <c r="K37" s="20">
        <v>12511.73</v>
      </c>
      <c r="L37" s="20">
        <v>11488.27</v>
      </c>
      <c r="M37" s="216">
        <v>11081.52</v>
      </c>
      <c r="N37" s="142"/>
      <c r="O37" s="142"/>
      <c r="P37" s="20">
        <v>1430.21</v>
      </c>
      <c r="Q37" s="216">
        <v>0</v>
      </c>
      <c r="R37" s="142"/>
      <c r="S37" s="216">
        <v>11488.27</v>
      </c>
      <c r="T37" s="142"/>
      <c r="U37" s="142"/>
      <c r="V37" s="142"/>
      <c r="W37" s="142"/>
      <c r="X37" s="217">
        <v>0.52100000000000002</v>
      </c>
      <c r="Y37" s="142"/>
    </row>
    <row r="38" spans="2:25" x14ac:dyDescent="0.2">
      <c r="B38" s="19" t="s">
        <v>162</v>
      </c>
      <c r="C38" s="19"/>
      <c r="D38" s="215" t="s">
        <v>163</v>
      </c>
      <c r="E38" s="142"/>
      <c r="F38" s="142"/>
      <c r="G38" s="142"/>
      <c r="H38" s="216">
        <v>24000</v>
      </c>
      <c r="I38" s="142"/>
      <c r="J38" s="142"/>
      <c r="K38" s="20">
        <v>12511.73</v>
      </c>
      <c r="L38" s="20">
        <v>11488.27</v>
      </c>
      <c r="M38" s="216">
        <v>11081.52</v>
      </c>
      <c r="N38" s="142"/>
      <c r="O38" s="142"/>
      <c r="P38" s="20">
        <v>1430.21</v>
      </c>
      <c r="Q38" s="216">
        <v>0</v>
      </c>
      <c r="R38" s="142"/>
      <c r="S38" s="216">
        <v>11488.27</v>
      </c>
      <c r="T38" s="142"/>
      <c r="U38" s="142"/>
      <c r="V38" s="142"/>
      <c r="W38" s="142"/>
      <c r="X38" s="217">
        <v>0.52100000000000002</v>
      </c>
      <c r="Y38" s="142"/>
    </row>
    <row r="39" spans="2:25" x14ac:dyDescent="0.2">
      <c r="B39" s="19" t="s">
        <v>88</v>
      </c>
      <c r="C39" s="19"/>
      <c r="D39" s="215" t="s">
        <v>171</v>
      </c>
      <c r="E39" s="142"/>
      <c r="F39" s="142"/>
      <c r="G39" s="142"/>
      <c r="H39" s="216">
        <v>24000</v>
      </c>
      <c r="I39" s="142"/>
      <c r="J39" s="142"/>
      <c r="K39" s="20">
        <v>12511.73</v>
      </c>
      <c r="L39" s="20">
        <v>11488.27</v>
      </c>
      <c r="M39" s="216">
        <v>11081.52</v>
      </c>
      <c r="N39" s="142"/>
      <c r="O39" s="142"/>
      <c r="P39" s="20">
        <v>1430.21</v>
      </c>
      <c r="Q39" s="216">
        <v>0</v>
      </c>
      <c r="R39" s="142"/>
      <c r="S39" s="216">
        <v>11488.27</v>
      </c>
      <c r="T39" s="142"/>
      <c r="U39" s="142"/>
      <c r="V39" s="142"/>
      <c r="W39" s="142"/>
      <c r="X39" s="217">
        <v>0.52100000000000002</v>
      </c>
      <c r="Y39" s="142"/>
    </row>
    <row r="40" spans="2:25" x14ac:dyDescent="0.2">
      <c r="B40" s="21" t="s">
        <v>91</v>
      </c>
      <c r="C40" s="21" t="s">
        <v>176</v>
      </c>
      <c r="D40" s="220" t="s">
        <v>286</v>
      </c>
      <c r="E40" s="142"/>
      <c r="F40" s="142"/>
      <c r="G40" s="142"/>
      <c r="H40" s="218">
        <v>24000</v>
      </c>
      <c r="I40" s="142"/>
      <c r="J40" s="142"/>
      <c r="K40" s="22">
        <v>12511.73</v>
      </c>
      <c r="L40" s="22">
        <v>11488.27</v>
      </c>
      <c r="M40" s="218">
        <v>11081.52</v>
      </c>
      <c r="N40" s="142"/>
      <c r="O40" s="142"/>
      <c r="P40" s="22">
        <v>1430.21</v>
      </c>
      <c r="Q40" s="218">
        <v>0</v>
      </c>
      <c r="R40" s="142"/>
      <c r="S40" s="218">
        <v>11488.27</v>
      </c>
      <c r="T40" s="142"/>
      <c r="U40" s="142"/>
      <c r="V40" s="142"/>
      <c r="W40" s="142"/>
      <c r="X40" s="219">
        <v>0.52100000000000002</v>
      </c>
      <c r="Y40" s="142"/>
    </row>
    <row r="41" spans="2:25" x14ac:dyDescent="0.2">
      <c r="B41" s="226" t="s">
        <v>177</v>
      </c>
      <c r="C41" s="142"/>
      <c r="D41" s="142"/>
      <c r="E41" s="142"/>
      <c r="F41" s="142"/>
      <c r="G41" s="142"/>
      <c r="H41" s="224">
        <v>55900</v>
      </c>
      <c r="I41" s="142"/>
      <c r="J41" s="142"/>
      <c r="K41" s="18">
        <v>46456.2</v>
      </c>
      <c r="L41" s="18">
        <v>9443.7999999999993</v>
      </c>
      <c r="M41" s="224">
        <v>41026.44</v>
      </c>
      <c r="N41" s="142"/>
      <c r="O41" s="142"/>
      <c r="P41" s="18">
        <v>5429.76</v>
      </c>
      <c r="Q41" s="224">
        <v>0</v>
      </c>
      <c r="R41" s="142"/>
      <c r="S41" s="224">
        <v>9443.7999999999993</v>
      </c>
      <c r="T41" s="142"/>
      <c r="U41" s="142"/>
      <c r="V41" s="142"/>
      <c r="W41" s="142"/>
      <c r="X41" s="225">
        <v>0.83099999999999996</v>
      </c>
      <c r="Y41" s="142"/>
    </row>
    <row r="42" spans="2:25" x14ac:dyDescent="0.2">
      <c r="B42" s="19" t="s">
        <v>2</v>
      </c>
      <c r="C42" s="19"/>
      <c r="D42" s="215" t="s">
        <v>161</v>
      </c>
      <c r="E42" s="142"/>
      <c r="F42" s="142"/>
      <c r="G42" s="142"/>
      <c r="H42" s="216">
        <v>55900</v>
      </c>
      <c r="I42" s="142"/>
      <c r="J42" s="142"/>
      <c r="K42" s="20">
        <v>46456.2</v>
      </c>
      <c r="L42" s="20">
        <v>9443.7999999999993</v>
      </c>
      <c r="M42" s="216">
        <v>41026.44</v>
      </c>
      <c r="N42" s="142"/>
      <c r="O42" s="142"/>
      <c r="P42" s="20">
        <v>5429.76</v>
      </c>
      <c r="Q42" s="216">
        <v>0</v>
      </c>
      <c r="R42" s="142"/>
      <c r="S42" s="216">
        <v>9443.7999999999993</v>
      </c>
      <c r="T42" s="142"/>
      <c r="U42" s="142"/>
      <c r="V42" s="142"/>
      <c r="W42" s="142"/>
      <c r="X42" s="217">
        <v>0.83099999999999996</v>
      </c>
      <c r="Y42" s="142"/>
    </row>
    <row r="43" spans="2:25" x14ac:dyDescent="0.2">
      <c r="B43" s="19" t="s">
        <v>162</v>
      </c>
      <c r="C43" s="19"/>
      <c r="D43" s="215" t="s">
        <v>163</v>
      </c>
      <c r="E43" s="142"/>
      <c r="F43" s="142"/>
      <c r="G43" s="142"/>
      <c r="H43" s="216">
        <v>55900</v>
      </c>
      <c r="I43" s="142"/>
      <c r="J43" s="142"/>
      <c r="K43" s="20">
        <v>46456.2</v>
      </c>
      <c r="L43" s="20">
        <v>9443.7999999999993</v>
      </c>
      <c r="M43" s="216">
        <v>41026.44</v>
      </c>
      <c r="N43" s="142"/>
      <c r="O43" s="142"/>
      <c r="P43" s="20">
        <v>5429.76</v>
      </c>
      <c r="Q43" s="216">
        <v>0</v>
      </c>
      <c r="R43" s="142"/>
      <c r="S43" s="216">
        <v>9443.7999999999993</v>
      </c>
      <c r="T43" s="142"/>
      <c r="U43" s="142"/>
      <c r="V43" s="142"/>
      <c r="W43" s="142"/>
      <c r="X43" s="217">
        <v>0.83099999999999996</v>
      </c>
      <c r="Y43" s="142"/>
    </row>
    <row r="44" spans="2:25" x14ac:dyDescent="0.2">
      <c r="B44" s="19" t="s">
        <v>88</v>
      </c>
      <c r="C44" s="19"/>
      <c r="D44" s="215" t="s">
        <v>171</v>
      </c>
      <c r="E44" s="142"/>
      <c r="F44" s="142"/>
      <c r="G44" s="142"/>
      <c r="H44" s="216">
        <v>55900</v>
      </c>
      <c r="I44" s="142"/>
      <c r="J44" s="142"/>
      <c r="K44" s="20">
        <v>46456.2</v>
      </c>
      <c r="L44" s="20">
        <v>9443.7999999999993</v>
      </c>
      <c r="M44" s="216">
        <v>41026.44</v>
      </c>
      <c r="N44" s="142"/>
      <c r="O44" s="142"/>
      <c r="P44" s="20">
        <v>5429.76</v>
      </c>
      <c r="Q44" s="216">
        <v>0</v>
      </c>
      <c r="R44" s="142"/>
      <c r="S44" s="216">
        <v>9443.7999999999993</v>
      </c>
      <c r="T44" s="142"/>
      <c r="U44" s="142"/>
      <c r="V44" s="142"/>
      <c r="W44" s="142"/>
      <c r="X44" s="217">
        <v>0.83099999999999996</v>
      </c>
      <c r="Y44" s="142"/>
    </row>
    <row r="45" spans="2:25" x14ac:dyDescent="0.2">
      <c r="B45" s="21" t="s">
        <v>91</v>
      </c>
      <c r="C45" s="21" t="s">
        <v>178</v>
      </c>
      <c r="D45" s="220" t="s">
        <v>287</v>
      </c>
      <c r="E45" s="142"/>
      <c r="F45" s="142"/>
      <c r="G45" s="142"/>
      <c r="H45" s="218">
        <v>55900</v>
      </c>
      <c r="I45" s="142"/>
      <c r="J45" s="142"/>
      <c r="K45" s="22">
        <v>46456.2</v>
      </c>
      <c r="L45" s="22">
        <v>9443.7999999999993</v>
      </c>
      <c r="M45" s="218">
        <v>41026.44</v>
      </c>
      <c r="N45" s="142"/>
      <c r="O45" s="142"/>
      <c r="P45" s="22">
        <v>5429.76</v>
      </c>
      <c r="Q45" s="218">
        <v>0</v>
      </c>
      <c r="R45" s="142"/>
      <c r="S45" s="218">
        <v>9443.7999999999993</v>
      </c>
      <c r="T45" s="142"/>
      <c r="U45" s="142"/>
      <c r="V45" s="142"/>
      <c r="W45" s="142"/>
      <c r="X45" s="219">
        <v>0.83099999999999996</v>
      </c>
      <c r="Y45" s="142"/>
    </row>
    <row r="46" spans="2:25" x14ac:dyDescent="0.2">
      <c r="B46" s="226" t="s">
        <v>179</v>
      </c>
      <c r="C46" s="142"/>
      <c r="D46" s="142"/>
      <c r="E46" s="142"/>
      <c r="F46" s="142"/>
      <c r="G46" s="142"/>
      <c r="H46" s="224">
        <v>65550</v>
      </c>
      <c r="I46" s="142"/>
      <c r="J46" s="142"/>
      <c r="K46" s="18">
        <v>19757.009999999998</v>
      </c>
      <c r="L46" s="18">
        <v>45792.99</v>
      </c>
      <c r="M46" s="224">
        <v>0</v>
      </c>
      <c r="N46" s="142"/>
      <c r="O46" s="142"/>
      <c r="P46" s="18">
        <v>19757.009999999998</v>
      </c>
      <c r="Q46" s="224">
        <v>0</v>
      </c>
      <c r="R46" s="142"/>
      <c r="S46" s="224">
        <v>45792.99</v>
      </c>
      <c r="T46" s="142"/>
      <c r="U46" s="142"/>
      <c r="V46" s="142"/>
      <c r="W46" s="142"/>
      <c r="X46" s="225">
        <v>0.30099999999999999</v>
      </c>
      <c r="Y46" s="142"/>
    </row>
    <row r="47" spans="2:25" x14ac:dyDescent="0.2">
      <c r="B47" s="19" t="s">
        <v>2</v>
      </c>
      <c r="C47" s="19"/>
      <c r="D47" s="215" t="s">
        <v>161</v>
      </c>
      <c r="E47" s="142"/>
      <c r="F47" s="142"/>
      <c r="G47" s="142"/>
      <c r="H47" s="216">
        <v>65550</v>
      </c>
      <c r="I47" s="142"/>
      <c r="J47" s="142"/>
      <c r="K47" s="20">
        <v>19757.009999999998</v>
      </c>
      <c r="L47" s="20">
        <v>45792.99</v>
      </c>
      <c r="M47" s="216">
        <v>0</v>
      </c>
      <c r="N47" s="142"/>
      <c r="O47" s="142"/>
      <c r="P47" s="20">
        <v>19757.009999999998</v>
      </c>
      <c r="Q47" s="216">
        <v>0</v>
      </c>
      <c r="R47" s="142"/>
      <c r="S47" s="216">
        <v>45792.99</v>
      </c>
      <c r="T47" s="142"/>
      <c r="U47" s="142"/>
      <c r="V47" s="142"/>
      <c r="W47" s="142"/>
      <c r="X47" s="217">
        <v>0.30099999999999999</v>
      </c>
      <c r="Y47" s="142"/>
    </row>
    <row r="48" spans="2:25" x14ac:dyDescent="0.2">
      <c r="B48" s="19" t="s">
        <v>162</v>
      </c>
      <c r="C48" s="19"/>
      <c r="D48" s="215" t="s">
        <v>163</v>
      </c>
      <c r="E48" s="142"/>
      <c r="F48" s="142"/>
      <c r="G48" s="142"/>
      <c r="H48" s="216">
        <v>65550</v>
      </c>
      <c r="I48" s="142"/>
      <c r="J48" s="142"/>
      <c r="K48" s="20">
        <v>19757.009999999998</v>
      </c>
      <c r="L48" s="20">
        <v>45792.99</v>
      </c>
      <c r="M48" s="216">
        <v>0</v>
      </c>
      <c r="N48" s="142"/>
      <c r="O48" s="142"/>
      <c r="P48" s="20">
        <v>19757.009999999998</v>
      </c>
      <c r="Q48" s="216">
        <v>0</v>
      </c>
      <c r="R48" s="142"/>
      <c r="S48" s="216">
        <v>45792.99</v>
      </c>
      <c r="T48" s="142"/>
      <c r="U48" s="142"/>
      <c r="V48" s="142"/>
      <c r="W48" s="142"/>
      <c r="X48" s="217">
        <v>0.30099999999999999</v>
      </c>
      <c r="Y48" s="142"/>
    </row>
    <row r="49" spans="2:25" x14ac:dyDescent="0.2">
      <c r="B49" s="19" t="s">
        <v>88</v>
      </c>
      <c r="C49" s="19"/>
      <c r="D49" s="215" t="s">
        <v>171</v>
      </c>
      <c r="E49" s="142"/>
      <c r="F49" s="142"/>
      <c r="G49" s="142"/>
      <c r="H49" s="216">
        <v>65550</v>
      </c>
      <c r="I49" s="142"/>
      <c r="J49" s="142"/>
      <c r="K49" s="20">
        <v>19757.009999999998</v>
      </c>
      <c r="L49" s="20">
        <v>45792.99</v>
      </c>
      <c r="M49" s="216">
        <v>0</v>
      </c>
      <c r="N49" s="142"/>
      <c r="O49" s="142"/>
      <c r="P49" s="20">
        <v>19757.009999999998</v>
      </c>
      <c r="Q49" s="216">
        <v>0</v>
      </c>
      <c r="R49" s="142"/>
      <c r="S49" s="216">
        <v>45792.99</v>
      </c>
      <c r="T49" s="142"/>
      <c r="U49" s="142"/>
      <c r="V49" s="142"/>
      <c r="W49" s="142"/>
      <c r="X49" s="217">
        <v>0.30099999999999999</v>
      </c>
      <c r="Y49" s="142"/>
    </row>
    <row r="50" spans="2:25" x14ac:dyDescent="0.2">
      <c r="B50" s="21" t="s">
        <v>91</v>
      </c>
      <c r="C50" s="21" t="s">
        <v>180</v>
      </c>
      <c r="D50" s="220" t="s">
        <v>288</v>
      </c>
      <c r="E50" s="142"/>
      <c r="F50" s="142"/>
      <c r="G50" s="142"/>
      <c r="H50" s="218">
        <v>65550</v>
      </c>
      <c r="I50" s="142"/>
      <c r="J50" s="142"/>
      <c r="K50" s="22">
        <v>19757.009999999998</v>
      </c>
      <c r="L50" s="22">
        <v>45792.99</v>
      </c>
      <c r="M50" s="218">
        <v>0</v>
      </c>
      <c r="N50" s="142"/>
      <c r="O50" s="142"/>
      <c r="P50" s="22">
        <v>19757.009999999998</v>
      </c>
      <c r="Q50" s="218">
        <v>0</v>
      </c>
      <c r="R50" s="142"/>
      <c r="S50" s="218">
        <v>45792.99</v>
      </c>
      <c r="T50" s="142"/>
      <c r="U50" s="142"/>
      <c r="V50" s="142"/>
      <c r="W50" s="142"/>
      <c r="X50" s="219">
        <v>0.30099999999999999</v>
      </c>
      <c r="Y50" s="142"/>
    </row>
    <row r="51" spans="2:25" x14ac:dyDescent="0.2">
      <c r="B51" s="223" t="s">
        <v>181</v>
      </c>
      <c r="C51" s="142"/>
      <c r="D51" s="142"/>
      <c r="E51" s="142"/>
      <c r="F51" s="142"/>
      <c r="G51" s="142"/>
      <c r="H51" s="221">
        <v>5719706.8600000003</v>
      </c>
      <c r="I51" s="142"/>
      <c r="J51" s="142"/>
      <c r="K51" s="17">
        <v>4077564.53</v>
      </c>
      <c r="L51" s="17">
        <v>1642142.33</v>
      </c>
      <c r="M51" s="221">
        <v>426690.5</v>
      </c>
      <c r="N51" s="142"/>
      <c r="O51" s="142"/>
      <c r="P51" s="17">
        <v>3650874.03</v>
      </c>
      <c r="Q51" s="221">
        <v>0</v>
      </c>
      <c r="R51" s="142"/>
      <c r="S51" s="221">
        <v>1642142.33</v>
      </c>
      <c r="T51" s="142"/>
      <c r="U51" s="142"/>
      <c r="V51" s="142"/>
      <c r="W51" s="142"/>
      <c r="X51" s="222">
        <v>0.71299999999999997</v>
      </c>
      <c r="Y51" s="142"/>
    </row>
    <row r="52" spans="2:25" x14ac:dyDescent="0.2">
      <c r="B52" s="226" t="s">
        <v>160</v>
      </c>
      <c r="C52" s="142"/>
      <c r="D52" s="142"/>
      <c r="E52" s="142"/>
      <c r="F52" s="142"/>
      <c r="G52" s="142"/>
      <c r="H52" s="224">
        <v>6972.5</v>
      </c>
      <c r="I52" s="142"/>
      <c r="J52" s="142"/>
      <c r="K52" s="18">
        <v>6972.5</v>
      </c>
      <c r="L52" s="18">
        <v>0</v>
      </c>
      <c r="M52" s="224">
        <v>6972.5</v>
      </c>
      <c r="N52" s="142"/>
      <c r="O52" s="142"/>
      <c r="P52" s="18">
        <v>0</v>
      </c>
      <c r="Q52" s="224">
        <v>0</v>
      </c>
      <c r="R52" s="142"/>
      <c r="S52" s="224">
        <v>0</v>
      </c>
      <c r="T52" s="142"/>
      <c r="U52" s="142"/>
      <c r="V52" s="142"/>
      <c r="W52" s="142"/>
      <c r="X52" s="225">
        <v>1</v>
      </c>
      <c r="Y52" s="142"/>
    </row>
    <row r="53" spans="2:25" x14ac:dyDescent="0.2">
      <c r="B53" s="19" t="s">
        <v>2</v>
      </c>
      <c r="C53" s="19"/>
      <c r="D53" s="215" t="s">
        <v>161</v>
      </c>
      <c r="E53" s="142"/>
      <c r="F53" s="142"/>
      <c r="G53" s="142"/>
      <c r="H53" s="216">
        <v>6972.5</v>
      </c>
      <c r="I53" s="142"/>
      <c r="J53" s="142"/>
      <c r="K53" s="20">
        <v>6972.5</v>
      </c>
      <c r="L53" s="20">
        <v>0</v>
      </c>
      <c r="M53" s="216">
        <v>6972.5</v>
      </c>
      <c r="N53" s="142"/>
      <c r="O53" s="142"/>
      <c r="P53" s="20">
        <v>0</v>
      </c>
      <c r="Q53" s="216">
        <v>0</v>
      </c>
      <c r="R53" s="142"/>
      <c r="S53" s="216">
        <v>0</v>
      </c>
      <c r="T53" s="142"/>
      <c r="U53" s="142"/>
      <c r="V53" s="142"/>
      <c r="W53" s="142"/>
      <c r="X53" s="217">
        <v>1</v>
      </c>
      <c r="Y53" s="142"/>
    </row>
    <row r="54" spans="2:25" x14ac:dyDescent="0.2">
      <c r="B54" s="19" t="s">
        <v>162</v>
      </c>
      <c r="C54" s="19"/>
      <c r="D54" s="215" t="s">
        <v>163</v>
      </c>
      <c r="E54" s="142"/>
      <c r="F54" s="142"/>
      <c r="G54" s="142"/>
      <c r="H54" s="216">
        <v>6972.5</v>
      </c>
      <c r="I54" s="142"/>
      <c r="J54" s="142"/>
      <c r="K54" s="20">
        <v>6972.5</v>
      </c>
      <c r="L54" s="20">
        <v>0</v>
      </c>
      <c r="M54" s="216">
        <v>6972.5</v>
      </c>
      <c r="N54" s="142"/>
      <c r="O54" s="142"/>
      <c r="P54" s="20">
        <v>0</v>
      </c>
      <c r="Q54" s="216">
        <v>0</v>
      </c>
      <c r="R54" s="142"/>
      <c r="S54" s="216">
        <v>0</v>
      </c>
      <c r="T54" s="142"/>
      <c r="U54" s="142"/>
      <c r="V54" s="142"/>
      <c r="W54" s="142"/>
      <c r="X54" s="217">
        <v>1</v>
      </c>
      <c r="Y54" s="142"/>
    </row>
    <row r="55" spans="2:25" x14ac:dyDescent="0.2">
      <c r="B55" s="19" t="s">
        <v>88</v>
      </c>
      <c r="C55" s="19"/>
      <c r="D55" s="215" t="s">
        <v>171</v>
      </c>
      <c r="E55" s="142"/>
      <c r="F55" s="142"/>
      <c r="G55" s="142"/>
      <c r="H55" s="216">
        <v>6972.5</v>
      </c>
      <c r="I55" s="142"/>
      <c r="J55" s="142"/>
      <c r="K55" s="20">
        <v>6972.5</v>
      </c>
      <c r="L55" s="20">
        <v>0</v>
      </c>
      <c r="M55" s="216">
        <v>6972.5</v>
      </c>
      <c r="N55" s="142"/>
      <c r="O55" s="142"/>
      <c r="P55" s="20">
        <v>0</v>
      </c>
      <c r="Q55" s="216">
        <v>0</v>
      </c>
      <c r="R55" s="142"/>
      <c r="S55" s="216">
        <v>0</v>
      </c>
      <c r="T55" s="142"/>
      <c r="U55" s="142"/>
      <c r="V55" s="142"/>
      <c r="W55" s="142"/>
      <c r="X55" s="217">
        <v>1</v>
      </c>
      <c r="Y55" s="142"/>
    </row>
    <row r="56" spans="2:25" x14ac:dyDescent="0.2">
      <c r="B56" s="21" t="s">
        <v>89</v>
      </c>
      <c r="C56" s="21" t="s">
        <v>182</v>
      </c>
      <c r="D56" s="220" t="s">
        <v>289</v>
      </c>
      <c r="E56" s="142"/>
      <c r="F56" s="142"/>
      <c r="G56" s="142"/>
      <c r="H56" s="218">
        <v>6972.5</v>
      </c>
      <c r="I56" s="142"/>
      <c r="J56" s="142"/>
      <c r="K56" s="22">
        <v>6972.5</v>
      </c>
      <c r="L56" s="22">
        <v>0</v>
      </c>
      <c r="M56" s="218">
        <v>6972.5</v>
      </c>
      <c r="N56" s="142"/>
      <c r="O56" s="142"/>
      <c r="P56" s="22">
        <v>0</v>
      </c>
      <c r="Q56" s="218">
        <v>0</v>
      </c>
      <c r="R56" s="142"/>
      <c r="S56" s="218">
        <v>0</v>
      </c>
      <c r="T56" s="142"/>
      <c r="U56" s="142"/>
      <c r="V56" s="142"/>
      <c r="W56" s="142"/>
      <c r="X56" s="219">
        <v>1</v>
      </c>
      <c r="Y56" s="142"/>
    </row>
    <row r="57" spans="2:25" x14ac:dyDescent="0.2">
      <c r="B57" s="226" t="s">
        <v>183</v>
      </c>
      <c r="C57" s="142"/>
      <c r="D57" s="142"/>
      <c r="E57" s="142"/>
      <c r="F57" s="142"/>
      <c r="G57" s="142"/>
      <c r="H57" s="224">
        <v>419718</v>
      </c>
      <c r="I57" s="142"/>
      <c r="J57" s="142"/>
      <c r="K57" s="18">
        <v>419718</v>
      </c>
      <c r="L57" s="18">
        <v>0</v>
      </c>
      <c r="M57" s="224">
        <v>419718</v>
      </c>
      <c r="N57" s="142"/>
      <c r="O57" s="142"/>
      <c r="P57" s="18">
        <v>0</v>
      </c>
      <c r="Q57" s="224">
        <v>0</v>
      </c>
      <c r="R57" s="142"/>
      <c r="S57" s="224">
        <v>0</v>
      </c>
      <c r="T57" s="142"/>
      <c r="U57" s="142"/>
      <c r="V57" s="142"/>
      <c r="W57" s="142"/>
      <c r="X57" s="225">
        <v>1</v>
      </c>
      <c r="Y57" s="142"/>
    </row>
    <row r="58" spans="2:25" x14ac:dyDescent="0.2">
      <c r="B58" s="19" t="s">
        <v>2</v>
      </c>
      <c r="C58" s="19"/>
      <c r="D58" s="215" t="s">
        <v>161</v>
      </c>
      <c r="E58" s="142"/>
      <c r="F58" s="142"/>
      <c r="G58" s="142"/>
      <c r="H58" s="216">
        <v>419718</v>
      </c>
      <c r="I58" s="142"/>
      <c r="J58" s="142"/>
      <c r="K58" s="20">
        <v>419718</v>
      </c>
      <c r="L58" s="20">
        <v>0</v>
      </c>
      <c r="M58" s="216">
        <v>419718</v>
      </c>
      <c r="N58" s="142"/>
      <c r="O58" s="142"/>
      <c r="P58" s="20">
        <v>0</v>
      </c>
      <c r="Q58" s="216">
        <v>0</v>
      </c>
      <c r="R58" s="142"/>
      <c r="S58" s="216">
        <v>0</v>
      </c>
      <c r="T58" s="142"/>
      <c r="U58" s="142"/>
      <c r="V58" s="142"/>
      <c r="W58" s="142"/>
      <c r="X58" s="217">
        <v>1</v>
      </c>
      <c r="Y58" s="142"/>
    </row>
    <row r="59" spans="2:25" x14ac:dyDescent="0.2">
      <c r="B59" s="19" t="s">
        <v>162</v>
      </c>
      <c r="C59" s="19"/>
      <c r="D59" s="215" t="s">
        <v>163</v>
      </c>
      <c r="E59" s="142"/>
      <c r="F59" s="142"/>
      <c r="G59" s="142"/>
      <c r="H59" s="216">
        <v>409163.94</v>
      </c>
      <c r="I59" s="142"/>
      <c r="J59" s="142"/>
      <c r="K59" s="20">
        <v>409163.94</v>
      </c>
      <c r="L59" s="20">
        <v>0</v>
      </c>
      <c r="M59" s="216">
        <v>409163.94</v>
      </c>
      <c r="N59" s="142"/>
      <c r="O59" s="142"/>
      <c r="P59" s="20">
        <v>0</v>
      </c>
      <c r="Q59" s="216">
        <v>0</v>
      </c>
      <c r="R59" s="142"/>
      <c r="S59" s="216">
        <v>0</v>
      </c>
      <c r="T59" s="142"/>
      <c r="U59" s="142"/>
      <c r="V59" s="142"/>
      <c r="W59" s="142"/>
      <c r="X59" s="217">
        <v>1</v>
      </c>
      <c r="Y59" s="142"/>
    </row>
    <row r="60" spans="2:25" x14ac:dyDescent="0.2">
      <c r="B60" s="19" t="s">
        <v>77</v>
      </c>
      <c r="C60" s="19"/>
      <c r="D60" s="215" t="s">
        <v>164</v>
      </c>
      <c r="E60" s="142"/>
      <c r="F60" s="142"/>
      <c r="G60" s="142"/>
      <c r="H60" s="216">
        <v>10150</v>
      </c>
      <c r="I60" s="142"/>
      <c r="J60" s="142"/>
      <c r="K60" s="20">
        <v>10150</v>
      </c>
      <c r="L60" s="20">
        <v>0</v>
      </c>
      <c r="M60" s="216">
        <v>10150</v>
      </c>
      <c r="N60" s="142"/>
      <c r="O60" s="142"/>
      <c r="P60" s="20">
        <v>0</v>
      </c>
      <c r="Q60" s="216">
        <v>0</v>
      </c>
      <c r="R60" s="142"/>
      <c r="S60" s="216">
        <v>0</v>
      </c>
      <c r="T60" s="142"/>
      <c r="U60" s="142"/>
      <c r="V60" s="142"/>
      <c r="W60" s="142"/>
      <c r="X60" s="217">
        <v>1</v>
      </c>
      <c r="Y60" s="142"/>
    </row>
    <row r="61" spans="2:25" x14ac:dyDescent="0.2">
      <c r="B61" s="21" t="s">
        <v>165</v>
      </c>
      <c r="C61" s="21" t="s">
        <v>184</v>
      </c>
      <c r="D61" s="220" t="s">
        <v>167</v>
      </c>
      <c r="E61" s="142"/>
      <c r="F61" s="142"/>
      <c r="G61" s="142"/>
      <c r="H61" s="218">
        <v>10150</v>
      </c>
      <c r="I61" s="142"/>
      <c r="J61" s="142"/>
      <c r="K61" s="22">
        <v>10150</v>
      </c>
      <c r="L61" s="22">
        <v>0</v>
      </c>
      <c r="M61" s="218">
        <v>10150</v>
      </c>
      <c r="N61" s="142"/>
      <c r="O61" s="142"/>
      <c r="P61" s="22">
        <v>0</v>
      </c>
      <c r="Q61" s="218">
        <v>0</v>
      </c>
      <c r="R61" s="142"/>
      <c r="S61" s="218">
        <v>0</v>
      </c>
      <c r="T61" s="142"/>
      <c r="U61" s="142"/>
      <c r="V61" s="142"/>
      <c r="W61" s="142"/>
      <c r="X61" s="219">
        <v>1</v>
      </c>
      <c r="Y61" s="142"/>
    </row>
    <row r="62" spans="2:25" x14ac:dyDescent="0.2">
      <c r="B62" s="21" t="s">
        <v>86</v>
      </c>
      <c r="C62" s="21" t="s">
        <v>185</v>
      </c>
      <c r="D62" s="220" t="s">
        <v>87</v>
      </c>
      <c r="E62" s="142"/>
      <c r="F62" s="142"/>
      <c r="G62" s="142"/>
      <c r="H62" s="218">
        <v>0</v>
      </c>
      <c r="I62" s="142"/>
      <c r="J62" s="142"/>
      <c r="K62" s="22">
        <v>0</v>
      </c>
      <c r="L62" s="22">
        <v>0</v>
      </c>
      <c r="M62" s="218">
        <v>0</v>
      </c>
      <c r="N62" s="142"/>
      <c r="O62" s="142"/>
      <c r="P62" s="22">
        <v>0</v>
      </c>
      <c r="Q62" s="218">
        <v>0</v>
      </c>
      <c r="R62" s="142"/>
      <c r="S62" s="218">
        <v>0</v>
      </c>
      <c r="T62" s="142"/>
      <c r="U62" s="142"/>
      <c r="V62" s="142"/>
      <c r="W62" s="142"/>
      <c r="X62" s="219">
        <v>0</v>
      </c>
      <c r="Y62" s="142"/>
    </row>
    <row r="63" spans="2:25" x14ac:dyDescent="0.2">
      <c r="B63" s="19" t="s">
        <v>88</v>
      </c>
      <c r="C63" s="19"/>
      <c r="D63" s="215" t="s">
        <v>171</v>
      </c>
      <c r="E63" s="142"/>
      <c r="F63" s="142"/>
      <c r="G63" s="142"/>
      <c r="H63" s="216">
        <v>236705.94</v>
      </c>
      <c r="I63" s="142"/>
      <c r="J63" s="142"/>
      <c r="K63" s="20">
        <v>236705.94</v>
      </c>
      <c r="L63" s="20">
        <v>0</v>
      </c>
      <c r="M63" s="216">
        <v>236705.94</v>
      </c>
      <c r="N63" s="142"/>
      <c r="O63" s="142"/>
      <c r="P63" s="20">
        <v>0</v>
      </c>
      <c r="Q63" s="216">
        <v>0</v>
      </c>
      <c r="R63" s="142"/>
      <c r="S63" s="216">
        <v>0</v>
      </c>
      <c r="T63" s="142"/>
      <c r="U63" s="142"/>
      <c r="V63" s="142"/>
      <c r="W63" s="142"/>
      <c r="X63" s="217">
        <v>1</v>
      </c>
      <c r="Y63" s="142"/>
    </row>
    <row r="64" spans="2:25" x14ac:dyDescent="0.2">
      <c r="B64" s="21" t="s">
        <v>89</v>
      </c>
      <c r="C64" s="21" t="s">
        <v>186</v>
      </c>
      <c r="D64" s="220" t="s">
        <v>90</v>
      </c>
      <c r="E64" s="142"/>
      <c r="F64" s="142"/>
      <c r="G64" s="142"/>
      <c r="H64" s="218">
        <v>51757.5</v>
      </c>
      <c r="I64" s="142"/>
      <c r="J64" s="142"/>
      <c r="K64" s="22">
        <v>51520.09</v>
      </c>
      <c r="L64" s="22">
        <v>237.41</v>
      </c>
      <c r="M64" s="218">
        <v>51520.09</v>
      </c>
      <c r="N64" s="142"/>
      <c r="O64" s="142"/>
      <c r="P64" s="22">
        <v>0</v>
      </c>
      <c r="Q64" s="218">
        <v>0</v>
      </c>
      <c r="R64" s="142"/>
      <c r="S64" s="218">
        <v>237.41</v>
      </c>
      <c r="T64" s="142"/>
      <c r="U64" s="142"/>
      <c r="V64" s="142"/>
      <c r="W64" s="142"/>
      <c r="X64" s="219">
        <v>0.995</v>
      </c>
      <c r="Y64" s="142"/>
    </row>
    <row r="65" spans="2:25" x14ac:dyDescent="0.2">
      <c r="B65" s="21" t="s">
        <v>91</v>
      </c>
      <c r="C65" s="21" t="s">
        <v>290</v>
      </c>
      <c r="D65" s="220" t="s">
        <v>92</v>
      </c>
      <c r="E65" s="142"/>
      <c r="F65" s="142"/>
      <c r="G65" s="142"/>
      <c r="H65" s="218">
        <v>0</v>
      </c>
      <c r="I65" s="142"/>
      <c r="J65" s="142"/>
      <c r="K65" s="22">
        <v>0</v>
      </c>
      <c r="L65" s="22">
        <v>0</v>
      </c>
      <c r="M65" s="218">
        <v>0</v>
      </c>
      <c r="N65" s="142"/>
      <c r="O65" s="142"/>
      <c r="P65" s="22">
        <v>0</v>
      </c>
      <c r="Q65" s="218">
        <v>0</v>
      </c>
      <c r="R65" s="142"/>
      <c r="S65" s="218">
        <v>0</v>
      </c>
      <c r="T65" s="142"/>
      <c r="U65" s="142"/>
      <c r="V65" s="142"/>
      <c r="W65" s="142"/>
      <c r="X65" s="219">
        <v>0</v>
      </c>
      <c r="Y65" s="142"/>
    </row>
    <row r="66" spans="2:25" x14ac:dyDescent="0.2">
      <c r="B66" s="21" t="s">
        <v>93</v>
      </c>
      <c r="C66" s="21" t="s">
        <v>187</v>
      </c>
      <c r="D66" s="220" t="s">
        <v>291</v>
      </c>
      <c r="E66" s="142"/>
      <c r="F66" s="142"/>
      <c r="G66" s="142"/>
      <c r="H66" s="218">
        <v>164300</v>
      </c>
      <c r="I66" s="142"/>
      <c r="J66" s="142"/>
      <c r="K66" s="22">
        <v>164300</v>
      </c>
      <c r="L66" s="22">
        <v>0</v>
      </c>
      <c r="M66" s="218">
        <v>164300</v>
      </c>
      <c r="N66" s="142"/>
      <c r="O66" s="142"/>
      <c r="P66" s="22">
        <v>0</v>
      </c>
      <c r="Q66" s="218">
        <v>0</v>
      </c>
      <c r="R66" s="142"/>
      <c r="S66" s="218">
        <v>0</v>
      </c>
      <c r="T66" s="142"/>
      <c r="U66" s="142"/>
      <c r="V66" s="142"/>
      <c r="W66" s="142"/>
      <c r="X66" s="219">
        <v>1</v>
      </c>
      <c r="Y66" s="142"/>
    </row>
    <row r="67" spans="2:25" x14ac:dyDescent="0.2">
      <c r="B67" s="21" t="s">
        <v>94</v>
      </c>
      <c r="C67" s="21" t="s">
        <v>188</v>
      </c>
      <c r="D67" s="220" t="s">
        <v>95</v>
      </c>
      <c r="E67" s="142"/>
      <c r="F67" s="142"/>
      <c r="G67" s="142"/>
      <c r="H67" s="218">
        <v>6400</v>
      </c>
      <c r="I67" s="142"/>
      <c r="J67" s="142"/>
      <c r="K67" s="22">
        <v>6400</v>
      </c>
      <c r="L67" s="22">
        <v>0</v>
      </c>
      <c r="M67" s="218">
        <v>6400</v>
      </c>
      <c r="N67" s="142"/>
      <c r="O67" s="142"/>
      <c r="P67" s="22">
        <v>0</v>
      </c>
      <c r="Q67" s="218">
        <v>0</v>
      </c>
      <c r="R67" s="142"/>
      <c r="S67" s="218">
        <v>0</v>
      </c>
      <c r="T67" s="142"/>
      <c r="U67" s="142"/>
      <c r="V67" s="142"/>
      <c r="W67" s="142"/>
      <c r="X67" s="219">
        <v>1</v>
      </c>
      <c r="Y67" s="142"/>
    </row>
    <row r="68" spans="2:25" x14ac:dyDescent="0.2">
      <c r="B68" s="21" t="s">
        <v>96</v>
      </c>
      <c r="C68" s="21" t="s">
        <v>189</v>
      </c>
      <c r="D68" s="220" t="s">
        <v>97</v>
      </c>
      <c r="E68" s="142"/>
      <c r="F68" s="142"/>
      <c r="G68" s="142"/>
      <c r="H68" s="218">
        <v>11585.94</v>
      </c>
      <c r="I68" s="142"/>
      <c r="J68" s="142"/>
      <c r="K68" s="22">
        <v>11585.94</v>
      </c>
      <c r="L68" s="22">
        <v>0</v>
      </c>
      <c r="M68" s="218">
        <v>11585.94</v>
      </c>
      <c r="N68" s="142"/>
      <c r="O68" s="142"/>
      <c r="P68" s="22">
        <v>0</v>
      </c>
      <c r="Q68" s="218">
        <v>0</v>
      </c>
      <c r="R68" s="142"/>
      <c r="S68" s="218">
        <v>0</v>
      </c>
      <c r="T68" s="142"/>
      <c r="U68" s="142"/>
      <c r="V68" s="142"/>
      <c r="W68" s="142"/>
      <c r="X68" s="219">
        <v>1</v>
      </c>
      <c r="Y68" s="142"/>
    </row>
    <row r="69" spans="2:25" x14ac:dyDescent="0.2">
      <c r="B69" s="21" t="s">
        <v>98</v>
      </c>
      <c r="C69" s="21" t="s">
        <v>190</v>
      </c>
      <c r="D69" s="220" t="s">
        <v>292</v>
      </c>
      <c r="E69" s="142"/>
      <c r="F69" s="142"/>
      <c r="G69" s="142"/>
      <c r="H69" s="218">
        <v>2662.5</v>
      </c>
      <c r="I69" s="142"/>
      <c r="J69" s="142"/>
      <c r="K69" s="22">
        <v>2899.91</v>
      </c>
      <c r="L69" s="22">
        <v>-237.41</v>
      </c>
      <c r="M69" s="218">
        <v>2899.91</v>
      </c>
      <c r="N69" s="142"/>
      <c r="O69" s="142"/>
      <c r="P69" s="22">
        <v>0</v>
      </c>
      <c r="Q69" s="218">
        <v>0</v>
      </c>
      <c r="R69" s="142"/>
      <c r="S69" s="218">
        <v>-237.41</v>
      </c>
      <c r="T69" s="142"/>
      <c r="U69" s="142"/>
      <c r="V69" s="142"/>
      <c r="W69" s="142"/>
      <c r="X69" s="219">
        <v>1.089</v>
      </c>
      <c r="Y69" s="142"/>
    </row>
    <row r="70" spans="2:25" x14ac:dyDescent="0.2">
      <c r="B70" s="19" t="s">
        <v>80</v>
      </c>
      <c r="C70" s="19"/>
      <c r="D70" s="215" t="s">
        <v>191</v>
      </c>
      <c r="E70" s="142"/>
      <c r="F70" s="142"/>
      <c r="G70" s="142"/>
      <c r="H70" s="216">
        <v>146880</v>
      </c>
      <c r="I70" s="142"/>
      <c r="J70" s="142"/>
      <c r="K70" s="20">
        <v>146880</v>
      </c>
      <c r="L70" s="20">
        <v>0</v>
      </c>
      <c r="M70" s="216">
        <v>146880</v>
      </c>
      <c r="N70" s="142"/>
      <c r="O70" s="142"/>
      <c r="P70" s="20">
        <v>0</v>
      </c>
      <c r="Q70" s="216">
        <v>0</v>
      </c>
      <c r="R70" s="142"/>
      <c r="S70" s="216">
        <v>0</v>
      </c>
      <c r="T70" s="142"/>
      <c r="U70" s="142"/>
      <c r="V70" s="142"/>
      <c r="W70" s="142"/>
      <c r="X70" s="217">
        <v>1</v>
      </c>
      <c r="Y70" s="142"/>
    </row>
    <row r="71" spans="2:25" x14ac:dyDescent="0.2">
      <c r="B71" s="21" t="s">
        <v>99</v>
      </c>
      <c r="C71" s="21" t="s">
        <v>192</v>
      </c>
      <c r="D71" s="220" t="s">
        <v>100</v>
      </c>
      <c r="E71" s="142"/>
      <c r="F71" s="142"/>
      <c r="G71" s="142"/>
      <c r="H71" s="218">
        <v>50050</v>
      </c>
      <c r="I71" s="142"/>
      <c r="J71" s="142"/>
      <c r="K71" s="22">
        <v>50050</v>
      </c>
      <c r="L71" s="22">
        <v>0</v>
      </c>
      <c r="M71" s="218">
        <v>50050</v>
      </c>
      <c r="N71" s="142"/>
      <c r="O71" s="142"/>
      <c r="P71" s="22">
        <v>0</v>
      </c>
      <c r="Q71" s="218">
        <v>0</v>
      </c>
      <c r="R71" s="142"/>
      <c r="S71" s="218">
        <v>0</v>
      </c>
      <c r="T71" s="142"/>
      <c r="U71" s="142"/>
      <c r="V71" s="142"/>
      <c r="W71" s="142"/>
      <c r="X71" s="219">
        <v>1</v>
      </c>
      <c r="Y71" s="142"/>
    </row>
    <row r="72" spans="2:25" x14ac:dyDescent="0.2">
      <c r="B72" s="21" t="s">
        <v>101</v>
      </c>
      <c r="C72" s="21" t="s">
        <v>193</v>
      </c>
      <c r="D72" s="220" t="s">
        <v>102</v>
      </c>
      <c r="E72" s="142"/>
      <c r="F72" s="142"/>
      <c r="G72" s="142"/>
      <c r="H72" s="218">
        <v>17900</v>
      </c>
      <c r="I72" s="142"/>
      <c r="J72" s="142"/>
      <c r="K72" s="22">
        <v>17900</v>
      </c>
      <c r="L72" s="22">
        <v>0</v>
      </c>
      <c r="M72" s="218">
        <v>17900</v>
      </c>
      <c r="N72" s="142"/>
      <c r="O72" s="142"/>
      <c r="P72" s="22">
        <v>0</v>
      </c>
      <c r="Q72" s="218">
        <v>0</v>
      </c>
      <c r="R72" s="142"/>
      <c r="S72" s="218">
        <v>0</v>
      </c>
      <c r="T72" s="142"/>
      <c r="U72" s="142"/>
      <c r="V72" s="142"/>
      <c r="W72" s="142"/>
      <c r="X72" s="219">
        <v>1</v>
      </c>
      <c r="Y72" s="142"/>
    </row>
    <row r="73" spans="2:25" x14ac:dyDescent="0.2">
      <c r="B73" s="21" t="s">
        <v>103</v>
      </c>
      <c r="C73" s="21" t="s">
        <v>194</v>
      </c>
      <c r="D73" s="220" t="s">
        <v>104</v>
      </c>
      <c r="E73" s="142"/>
      <c r="F73" s="142"/>
      <c r="G73" s="142"/>
      <c r="H73" s="218">
        <v>48100</v>
      </c>
      <c r="I73" s="142"/>
      <c r="J73" s="142"/>
      <c r="K73" s="22">
        <v>48100</v>
      </c>
      <c r="L73" s="22">
        <v>0</v>
      </c>
      <c r="M73" s="218">
        <v>48100</v>
      </c>
      <c r="N73" s="142"/>
      <c r="O73" s="142"/>
      <c r="P73" s="22">
        <v>0</v>
      </c>
      <c r="Q73" s="218">
        <v>0</v>
      </c>
      <c r="R73" s="142"/>
      <c r="S73" s="218">
        <v>0</v>
      </c>
      <c r="T73" s="142"/>
      <c r="U73" s="142"/>
      <c r="V73" s="142"/>
      <c r="W73" s="142"/>
      <c r="X73" s="219">
        <v>1</v>
      </c>
      <c r="Y73" s="142"/>
    </row>
    <row r="74" spans="2:25" x14ac:dyDescent="0.2">
      <c r="B74" s="21" t="s">
        <v>81</v>
      </c>
      <c r="C74" s="21" t="s">
        <v>195</v>
      </c>
      <c r="D74" s="220" t="s">
        <v>293</v>
      </c>
      <c r="E74" s="142"/>
      <c r="F74" s="142"/>
      <c r="G74" s="142"/>
      <c r="H74" s="218">
        <v>7330</v>
      </c>
      <c r="I74" s="142"/>
      <c r="J74" s="142"/>
      <c r="K74" s="22">
        <v>7330</v>
      </c>
      <c r="L74" s="22">
        <v>0</v>
      </c>
      <c r="M74" s="218">
        <v>7330</v>
      </c>
      <c r="N74" s="142"/>
      <c r="O74" s="142"/>
      <c r="P74" s="22">
        <v>0</v>
      </c>
      <c r="Q74" s="218">
        <v>0</v>
      </c>
      <c r="R74" s="142"/>
      <c r="S74" s="218">
        <v>0</v>
      </c>
      <c r="T74" s="142"/>
      <c r="U74" s="142"/>
      <c r="V74" s="142"/>
      <c r="W74" s="142"/>
      <c r="X74" s="219">
        <v>1</v>
      </c>
      <c r="Y74" s="142"/>
    </row>
    <row r="75" spans="2:25" x14ac:dyDescent="0.2">
      <c r="B75" s="21" t="s">
        <v>196</v>
      </c>
      <c r="C75" s="21" t="s">
        <v>197</v>
      </c>
      <c r="D75" s="220" t="s">
        <v>198</v>
      </c>
      <c r="E75" s="142"/>
      <c r="F75" s="142"/>
      <c r="G75" s="142"/>
      <c r="H75" s="218">
        <v>15000</v>
      </c>
      <c r="I75" s="142"/>
      <c r="J75" s="142"/>
      <c r="K75" s="22">
        <v>15000</v>
      </c>
      <c r="L75" s="22">
        <v>0</v>
      </c>
      <c r="M75" s="218">
        <v>15000</v>
      </c>
      <c r="N75" s="142"/>
      <c r="O75" s="142"/>
      <c r="P75" s="22">
        <v>0</v>
      </c>
      <c r="Q75" s="218">
        <v>0</v>
      </c>
      <c r="R75" s="142"/>
      <c r="S75" s="218">
        <v>0</v>
      </c>
      <c r="T75" s="142"/>
      <c r="U75" s="142"/>
      <c r="V75" s="142"/>
      <c r="W75" s="142"/>
      <c r="X75" s="219">
        <v>1</v>
      </c>
      <c r="Y75" s="142"/>
    </row>
    <row r="76" spans="2:25" x14ac:dyDescent="0.2">
      <c r="B76" s="21" t="s">
        <v>106</v>
      </c>
      <c r="C76" s="21" t="s">
        <v>199</v>
      </c>
      <c r="D76" s="220" t="s">
        <v>107</v>
      </c>
      <c r="E76" s="142"/>
      <c r="F76" s="142"/>
      <c r="G76" s="142"/>
      <c r="H76" s="218">
        <v>8500</v>
      </c>
      <c r="I76" s="142"/>
      <c r="J76" s="142"/>
      <c r="K76" s="22">
        <v>8500</v>
      </c>
      <c r="L76" s="22">
        <v>0</v>
      </c>
      <c r="M76" s="218">
        <v>8500</v>
      </c>
      <c r="N76" s="142"/>
      <c r="O76" s="142"/>
      <c r="P76" s="22">
        <v>0</v>
      </c>
      <c r="Q76" s="218">
        <v>0</v>
      </c>
      <c r="R76" s="142"/>
      <c r="S76" s="218">
        <v>0</v>
      </c>
      <c r="T76" s="142"/>
      <c r="U76" s="142"/>
      <c r="V76" s="142"/>
      <c r="W76" s="142"/>
      <c r="X76" s="219">
        <v>1</v>
      </c>
      <c r="Y76" s="142"/>
    </row>
    <row r="77" spans="2:25" x14ac:dyDescent="0.2">
      <c r="B77" s="19" t="s">
        <v>108</v>
      </c>
      <c r="C77" s="19"/>
      <c r="D77" s="215" t="s">
        <v>168</v>
      </c>
      <c r="E77" s="142"/>
      <c r="F77" s="142"/>
      <c r="G77" s="142"/>
      <c r="H77" s="216">
        <v>15428</v>
      </c>
      <c r="I77" s="142"/>
      <c r="J77" s="142"/>
      <c r="K77" s="20">
        <v>15428</v>
      </c>
      <c r="L77" s="20">
        <v>0</v>
      </c>
      <c r="M77" s="216">
        <v>15428</v>
      </c>
      <c r="N77" s="142"/>
      <c r="O77" s="142"/>
      <c r="P77" s="20">
        <v>0</v>
      </c>
      <c r="Q77" s="216">
        <v>0</v>
      </c>
      <c r="R77" s="142"/>
      <c r="S77" s="216">
        <v>0</v>
      </c>
      <c r="T77" s="142"/>
      <c r="U77" s="142"/>
      <c r="V77" s="142"/>
      <c r="W77" s="142"/>
      <c r="X77" s="217">
        <v>1</v>
      </c>
      <c r="Y77" s="142"/>
    </row>
    <row r="78" spans="2:25" x14ac:dyDescent="0.2">
      <c r="B78" s="21" t="s">
        <v>200</v>
      </c>
      <c r="C78" s="21" t="s">
        <v>201</v>
      </c>
      <c r="D78" s="220" t="s">
        <v>202</v>
      </c>
      <c r="E78" s="142"/>
      <c r="F78" s="142"/>
      <c r="G78" s="142"/>
      <c r="H78" s="218">
        <v>2000</v>
      </c>
      <c r="I78" s="142"/>
      <c r="J78" s="142"/>
      <c r="K78" s="22">
        <v>2000</v>
      </c>
      <c r="L78" s="22">
        <v>0</v>
      </c>
      <c r="M78" s="218">
        <v>2000</v>
      </c>
      <c r="N78" s="142"/>
      <c r="O78" s="142"/>
      <c r="P78" s="22">
        <v>0</v>
      </c>
      <c r="Q78" s="218">
        <v>0</v>
      </c>
      <c r="R78" s="142"/>
      <c r="S78" s="218">
        <v>0</v>
      </c>
      <c r="T78" s="142"/>
      <c r="U78" s="142"/>
      <c r="V78" s="142"/>
      <c r="W78" s="142"/>
      <c r="X78" s="219">
        <v>1</v>
      </c>
      <c r="Y78" s="142"/>
    </row>
    <row r="79" spans="2:25" x14ac:dyDescent="0.2">
      <c r="B79" s="21" t="s">
        <v>111</v>
      </c>
      <c r="C79" s="21" t="s">
        <v>203</v>
      </c>
      <c r="D79" s="220" t="s">
        <v>109</v>
      </c>
      <c r="E79" s="142"/>
      <c r="F79" s="142"/>
      <c r="G79" s="142"/>
      <c r="H79" s="218">
        <v>13428</v>
      </c>
      <c r="I79" s="142"/>
      <c r="J79" s="142"/>
      <c r="K79" s="22">
        <v>13428</v>
      </c>
      <c r="L79" s="22">
        <v>0</v>
      </c>
      <c r="M79" s="218">
        <v>13428</v>
      </c>
      <c r="N79" s="142"/>
      <c r="O79" s="142"/>
      <c r="P79" s="22">
        <v>0</v>
      </c>
      <c r="Q79" s="218">
        <v>0</v>
      </c>
      <c r="R79" s="142"/>
      <c r="S79" s="218">
        <v>0</v>
      </c>
      <c r="T79" s="142"/>
      <c r="U79" s="142"/>
      <c r="V79" s="142"/>
      <c r="W79" s="142"/>
      <c r="X79" s="219">
        <v>1</v>
      </c>
      <c r="Y79" s="142"/>
    </row>
    <row r="80" spans="2:25" x14ac:dyDescent="0.2">
      <c r="B80" s="19" t="s">
        <v>204</v>
      </c>
      <c r="C80" s="19"/>
      <c r="D80" s="215" t="s">
        <v>205</v>
      </c>
      <c r="E80" s="142"/>
      <c r="F80" s="142"/>
      <c r="G80" s="142"/>
      <c r="H80" s="216">
        <v>10554.06</v>
      </c>
      <c r="I80" s="142"/>
      <c r="J80" s="142"/>
      <c r="K80" s="20">
        <v>10554.06</v>
      </c>
      <c r="L80" s="20">
        <v>0</v>
      </c>
      <c r="M80" s="216">
        <v>10554.06</v>
      </c>
      <c r="N80" s="142"/>
      <c r="O80" s="142"/>
      <c r="P80" s="20">
        <v>0</v>
      </c>
      <c r="Q80" s="216">
        <v>0</v>
      </c>
      <c r="R80" s="142"/>
      <c r="S80" s="216">
        <v>0</v>
      </c>
      <c r="T80" s="142"/>
      <c r="U80" s="142"/>
      <c r="V80" s="142"/>
      <c r="W80" s="142"/>
      <c r="X80" s="217">
        <v>1</v>
      </c>
      <c r="Y80" s="142"/>
    </row>
    <row r="81" spans="2:25" x14ac:dyDescent="0.2">
      <c r="B81" s="19" t="s">
        <v>82</v>
      </c>
      <c r="C81" s="19"/>
      <c r="D81" s="215" t="s">
        <v>206</v>
      </c>
      <c r="E81" s="142"/>
      <c r="F81" s="142"/>
      <c r="G81" s="142"/>
      <c r="H81" s="216">
        <v>10554.06</v>
      </c>
      <c r="I81" s="142"/>
      <c r="J81" s="142"/>
      <c r="K81" s="20">
        <v>10554.06</v>
      </c>
      <c r="L81" s="20">
        <v>0</v>
      </c>
      <c r="M81" s="216">
        <v>10554.06</v>
      </c>
      <c r="N81" s="142"/>
      <c r="O81" s="142"/>
      <c r="P81" s="20">
        <v>0</v>
      </c>
      <c r="Q81" s="216">
        <v>0</v>
      </c>
      <c r="R81" s="142"/>
      <c r="S81" s="216">
        <v>0</v>
      </c>
      <c r="T81" s="142"/>
      <c r="U81" s="142"/>
      <c r="V81" s="142"/>
      <c r="W81" s="142"/>
      <c r="X81" s="217">
        <v>1</v>
      </c>
      <c r="Y81" s="142"/>
    </row>
    <row r="82" spans="2:25" x14ac:dyDescent="0.2">
      <c r="B82" s="21" t="s">
        <v>207</v>
      </c>
      <c r="C82" s="21" t="s">
        <v>208</v>
      </c>
      <c r="D82" s="220" t="s">
        <v>209</v>
      </c>
      <c r="E82" s="142"/>
      <c r="F82" s="142"/>
      <c r="G82" s="142"/>
      <c r="H82" s="218">
        <v>10500</v>
      </c>
      <c r="I82" s="142"/>
      <c r="J82" s="142"/>
      <c r="K82" s="22">
        <v>10500</v>
      </c>
      <c r="L82" s="22">
        <v>0</v>
      </c>
      <c r="M82" s="218">
        <v>10500</v>
      </c>
      <c r="N82" s="142"/>
      <c r="O82" s="142"/>
      <c r="P82" s="22">
        <v>0</v>
      </c>
      <c r="Q82" s="218">
        <v>0</v>
      </c>
      <c r="R82" s="142"/>
      <c r="S82" s="218">
        <v>0</v>
      </c>
      <c r="T82" s="142"/>
      <c r="U82" s="142"/>
      <c r="V82" s="142"/>
      <c r="W82" s="142"/>
      <c r="X82" s="219">
        <v>1</v>
      </c>
      <c r="Y82" s="142"/>
    </row>
    <row r="83" spans="2:25" x14ac:dyDescent="0.2">
      <c r="B83" s="21" t="s">
        <v>210</v>
      </c>
      <c r="C83" s="21" t="s">
        <v>211</v>
      </c>
      <c r="D83" s="220" t="s">
        <v>212</v>
      </c>
      <c r="E83" s="142"/>
      <c r="F83" s="142"/>
      <c r="G83" s="142"/>
      <c r="H83" s="218">
        <v>54.06</v>
      </c>
      <c r="I83" s="142"/>
      <c r="J83" s="142"/>
      <c r="K83" s="22">
        <v>54.06</v>
      </c>
      <c r="L83" s="22">
        <v>0</v>
      </c>
      <c r="M83" s="218">
        <v>54.06</v>
      </c>
      <c r="N83" s="142"/>
      <c r="O83" s="142"/>
      <c r="P83" s="22">
        <v>0</v>
      </c>
      <c r="Q83" s="218">
        <v>0</v>
      </c>
      <c r="R83" s="142"/>
      <c r="S83" s="218">
        <v>0</v>
      </c>
      <c r="T83" s="142"/>
      <c r="U83" s="142"/>
      <c r="V83" s="142"/>
      <c r="W83" s="142"/>
      <c r="X83" s="219">
        <v>1</v>
      </c>
      <c r="Y83" s="142"/>
    </row>
    <row r="84" spans="2:25" x14ac:dyDescent="0.2">
      <c r="B84" s="226" t="s">
        <v>213</v>
      </c>
      <c r="C84" s="142"/>
      <c r="D84" s="142"/>
      <c r="E84" s="142"/>
      <c r="F84" s="142"/>
      <c r="G84" s="142"/>
      <c r="H84" s="224">
        <v>28162.92</v>
      </c>
      <c r="I84" s="142"/>
      <c r="J84" s="142"/>
      <c r="K84" s="18">
        <v>13953.4</v>
      </c>
      <c r="L84" s="18">
        <v>14209.52</v>
      </c>
      <c r="M84" s="224">
        <v>0</v>
      </c>
      <c r="N84" s="142"/>
      <c r="O84" s="142"/>
      <c r="P84" s="18">
        <v>13953.4</v>
      </c>
      <c r="Q84" s="224">
        <v>0</v>
      </c>
      <c r="R84" s="142"/>
      <c r="S84" s="224">
        <v>14209.52</v>
      </c>
      <c r="T84" s="142"/>
      <c r="U84" s="142"/>
      <c r="V84" s="142"/>
      <c r="W84" s="142"/>
      <c r="X84" s="225">
        <v>0.496</v>
      </c>
      <c r="Y84" s="142"/>
    </row>
    <row r="85" spans="2:25" x14ac:dyDescent="0.2">
      <c r="B85" s="19" t="s">
        <v>2</v>
      </c>
      <c r="C85" s="19"/>
      <c r="D85" s="215" t="s">
        <v>161</v>
      </c>
      <c r="E85" s="142"/>
      <c r="F85" s="142"/>
      <c r="G85" s="142"/>
      <c r="H85" s="216">
        <v>15968.1</v>
      </c>
      <c r="I85" s="142"/>
      <c r="J85" s="142"/>
      <c r="K85" s="20">
        <v>2089.4</v>
      </c>
      <c r="L85" s="20">
        <v>13878.7</v>
      </c>
      <c r="M85" s="216">
        <v>0</v>
      </c>
      <c r="N85" s="142"/>
      <c r="O85" s="142"/>
      <c r="P85" s="20">
        <v>2089.4</v>
      </c>
      <c r="Q85" s="216">
        <v>0</v>
      </c>
      <c r="R85" s="142"/>
      <c r="S85" s="216">
        <v>13878.7</v>
      </c>
      <c r="T85" s="142"/>
      <c r="U85" s="142"/>
      <c r="V85" s="142"/>
      <c r="W85" s="142"/>
      <c r="X85" s="217">
        <v>0.13100000000000001</v>
      </c>
      <c r="Y85" s="142"/>
    </row>
    <row r="86" spans="2:25" x14ac:dyDescent="0.2">
      <c r="B86" s="19" t="s">
        <v>162</v>
      </c>
      <c r="C86" s="19"/>
      <c r="D86" s="215" t="s">
        <v>163</v>
      </c>
      <c r="E86" s="142"/>
      <c r="F86" s="142"/>
      <c r="G86" s="142"/>
      <c r="H86" s="216">
        <v>15968.1</v>
      </c>
      <c r="I86" s="142"/>
      <c r="J86" s="142"/>
      <c r="K86" s="20">
        <v>2089.4</v>
      </c>
      <c r="L86" s="20">
        <v>13878.7</v>
      </c>
      <c r="M86" s="216">
        <v>0</v>
      </c>
      <c r="N86" s="142"/>
      <c r="O86" s="142"/>
      <c r="P86" s="20">
        <v>2089.4</v>
      </c>
      <c r="Q86" s="216">
        <v>0</v>
      </c>
      <c r="R86" s="142"/>
      <c r="S86" s="216">
        <v>13878.7</v>
      </c>
      <c r="T86" s="142"/>
      <c r="U86" s="142"/>
      <c r="V86" s="142"/>
      <c r="W86" s="142"/>
      <c r="X86" s="217">
        <v>0.13100000000000001</v>
      </c>
      <c r="Y86" s="142"/>
    </row>
    <row r="87" spans="2:25" x14ac:dyDescent="0.2">
      <c r="B87" s="19" t="s">
        <v>77</v>
      </c>
      <c r="C87" s="19"/>
      <c r="D87" s="215" t="s">
        <v>164</v>
      </c>
      <c r="E87" s="142"/>
      <c r="F87" s="142"/>
      <c r="G87" s="142"/>
      <c r="H87" s="216">
        <v>3420</v>
      </c>
      <c r="I87" s="142"/>
      <c r="J87" s="142"/>
      <c r="K87" s="20">
        <v>0</v>
      </c>
      <c r="L87" s="20">
        <v>3420</v>
      </c>
      <c r="M87" s="216">
        <v>0</v>
      </c>
      <c r="N87" s="142"/>
      <c r="O87" s="142"/>
      <c r="P87" s="20">
        <v>0</v>
      </c>
      <c r="Q87" s="216">
        <v>0</v>
      </c>
      <c r="R87" s="142"/>
      <c r="S87" s="216">
        <v>3420</v>
      </c>
      <c r="T87" s="142"/>
      <c r="U87" s="142"/>
      <c r="V87" s="142"/>
      <c r="W87" s="142"/>
      <c r="X87" s="217">
        <v>0</v>
      </c>
      <c r="Y87" s="142"/>
    </row>
    <row r="88" spans="2:25" x14ac:dyDescent="0.2">
      <c r="B88" s="21" t="s">
        <v>86</v>
      </c>
      <c r="C88" s="21" t="s">
        <v>214</v>
      </c>
      <c r="D88" s="220" t="s">
        <v>87</v>
      </c>
      <c r="E88" s="142"/>
      <c r="F88" s="142"/>
      <c r="G88" s="142"/>
      <c r="H88" s="218">
        <v>3420</v>
      </c>
      <c r="I88" s="142"/>
      <c r="J88" s="142"/>
      <c r="K88" s="22">
        <v>0</v>
      </c>
      <c r="L88" s="22">
        <v>3420</v>
      </c>
      <c r="M88" s="218">
        <v>0</v>
      </c>
      <c r="N88" s="142"/>
      <c r="O88" s="142"/>
      <c r="P88" s="22">
        <v>0</v>
      </c>
      <c r="Q88" s="218">
        <v>0</v>
      </c>
      <c r="R88" s="142"/>
      <c r="S88" s="218">
        <v>3420</v>
      </c>
      <c r="T88" s="142"/>
      <c r="U88" s="142"/>
      <c r="V88" s="142"/>
      <c r="W88" s="142"/>
      <c r="X88" s="219">
        <v>0</v>
      </c>
      <c r="Y88" s="142"/>
    </row>
    <row r="89" spans="2:25" x14ac:dyDescent="0.2">
      <c r="B89" s="19" t="s">
        <v>88</v>
      </c>
      <c r="C89" s="19"/>
      <c r="D89" s="215" t="s">
        <v>171</v>
      </c>
      <c r="E89" s="142"/>
      <c r="F89" s="142"/>
      <c r="G89" s="142"/>
      <c r="H89" s="216">
        <v>6048.1</v>
      </c>
      <c r="I89" s="142"/>
      <c r="J89" s="142"/>
      <c r="K89" s="20">
        <v>1296.56</v>
      </c>
      <c r="L89" s="20">
        <v>4751.54</v>
      </c>
      <c r="M89" s="216">
        <v>0</v>
      </c>
      <c r="N89" s="142"/>
      <c r="O89" s="142"/>
      <c r="P89" s="20">
        <v>1296.56</v>
      </c>
      <c r="Q89" s="216">
        <v>0</v>
      </c>
      <c r="R89" s="142"/>
      <c r="S89" s="216">
        <v>4751.54</v>
      </c>
      <c r="T89" s="142"/>
      <c r="U89" s="142"/>
      <c r="V89" s="142"/>
      <c r="W89" s="142"/>
      <c r="X89" s="217">
        <v>0.214</v>
      </c>
      <c r="Y89" s="142"/>
    </row>
    <row r="90" spans="2:25" x14ac:dyDescent="0.2">
      <c r="B90" s="21" t="s">
        <v>89</v>
      </c>
      <c r="C90" s="21" t="s">
        <v>215</v>
      </c>
      <c r="D90" s="220" t="s">
        <v>90</v>
      </c>
      <c r="E90" s="142"/>
      <c r="F90" s="142"/>
      <c r="G90" s="142"/>
      <c r="H90" s="218">
        <v>2000</v>
      </c>
      <c r="I90" s="142"/>
      <c r="J90" s="142"/>
      <c r="K90" s="22">
        <v>818.46</v>
      </c>
      <c r="L90" s="22">
        <v>1181.54</v>
      </c>
      <c r="M90" s="218">
        <v>0</v>
      </c>
      <c r="N90" s="142"/>
      <c r="O90" s="142"/>
      <c r="P90" s="22">
        <v>818.46</v>
      </c>
      <c r="Q90" s="218">
        <v>0</v>
      </c>
      <c r="R90" s="142"/>
      <c r="S90" s="218">
        <v>1181.54</v>
      </c>
      <c r="T90" s="142"/>
      <c r="U90" s="142"/>
      <c r="V90" s="142"/>
      <c r="W90" s="142"/>
      <c r="X90" s="219">
        <v>0.40899999999999997</v>
      </c>
      <c r="Y90" s="142"/>
    </row>
    <row r="91" spans="2:25" x14ac:dyDescent="0.2">
      <c r="B91" s="21" t="s">
        <v>94</v>
      </c>
      <c r="C91" s="21" t="s">
        <v>294</v>
      </c>
      <c r="D91" s="220" t="s">
        <v>95</v>
      </c>
      <c r="E91" s="142"/>
      <c r="F91" s="142"/>
      <c r="G91" s="142"/>
      <c r="H91" s="218">
        <v>70</v>
      </c>
      <c r="I91" s="142"/>
      <c r="J91" s="142"/>
      <c r="K91" s="22">
        <v>0</v>
      </c>
      <c r="L91" s="22">
        <v>70</v>
      </c>
      <c r="M91" s="218">
        <v>0</v>
      </c>
      <c r="N91" s="142"/>
      <c r="O91" s="142"/>
      <c r="P91" s="22">
        <v>0</v>
      </c>
      <c r="Q91" s="218">
        <v>0</v>
      </c>
      <c r="R91" s="142"/>
      <c r="S91" s="218">
        <v>70</v>
      </c>
      <c r="T91" s="142"/>
      <c r="U91" s="142"/>
      <c r="V91" s="142"/>
      <c r="W91" s="142"/>
      <c r="X91" s="219">
        <v>0</v>
      </c>
      <c r="Y91" s="142"/>
    </row>
    <row r="92" spans="2:25" x14ac:dyDescent="0.2">
      <c r="B92" s="21" t="s">
        <v>94</v>
      </c>
      <c r="C92" s="21" t="s">
        <v>216</v>
      </c>
      <c r="D92" s="220" t="s">
        <v>95</v>
      </c>
      <c r="E92" s="142"/>
      <c r="F92" s="142"/>
      <c r="G92" s="142"/>
      <c r="H92" s="218">
        <v>3500</v>
      </c>
      <c r="I92" s="142"/>
      <c r="J92" s="142"/>
      <c r="K92" s="22">
        <v>0</v>
      </c>
      <c r="L92" s="22">
        <v>3500</v>
      </c>
      <c r="M92" s="218">
        <v>0</v>
      </c>
      <c r="N92" s="142"/>
      <c r="O92" s="142"/>
      <c r="P92" s="22">
        <v>0</v>
      </c>
      <c r="Q92" s="218">
        <v>0</v>
      </c>
      <c r="R92" s="142"/>
      <c r="S92" s="218">
        <v>3500</v>
      </c>
      <c r="T92" s="142"/>
      <c r="U92" s="142"/>
      <c r="V92" s="142"/>
      <c r="W92" s="142"/>
      <c r="X92" s="219">
        <v>0</v>
      </c>
      <c r="Y92" s="142"/>
    </row>
    <row r="93" spans="2:25" x14ac:dyDescent="0.2">
      <c r="B93" s="21" t="s">
        <v>96</v>
      </c>
      <c r="C93" s="21" t="s">
        <v>217</v>
      </c>
      <c r="D93" s="220" t="s">
        <v>295</v>
      </c>
      <c r="E93" s="142"/>
      <c r="F93" s="142"/>
      <c r="G93" s="142"/>
      <c r="H93" s="218">
        <v>478.1</v>
      </c>
      <c r="I93" s="142"/>
      <c r="J93" s="142"/>
      <c r="K93" s="22">
        <v>478.1</v>
      </c>
      <c r="L93" s="22">
        <v>0</v>
      </c>
      <c r="M93" s="218">
        <v>0</v>
      </c>
      <c r="N93" s="142"/>
      <c r="O93" s="142"/>
      <c r="P93" s="22">
        <v>478.1</v>
      </c>
      <c r="Q93" s="218">
        <v>0</v>
      </c>
      <c r="R93" s="142"/>
      <c r="S93" s="218">
        <v>0</v>
      </c>
      <c r="T93" s="142"/>
      <c r="U93" s="142"/>
      <c r="V93" s="142"/>
      <c r="W93" s="142"/>
      <c r="X93" s="219">
        <v>1</v>
      </c>
      <c r="Y93" s="142"/>
    </row>
    <row r="94" spans="2:25" x14ac:dyDescent="0.2">
      <c r="B94" s="19" t="s">
        <v>108</v>
      </c>
      <c r="C94" s="19"/>
      <c r="D94" s="215" t="s">
        <v>168</v>
      </c>
      <c r="E94" s="142"/>
      <c r="F94" s="142"/>
      <c r="G94" s="142"/>
      <c r="H94" s="216">
        <v>6500</v>
      </c>
      <c r="I94" s="142"/>
      <c r="J94" s="142"/>
      <c r="K94" s="20">
        <v>792.84</v>
      </c>
      <c r="L94" s="20">
        <v>5707.16</v>
      </c>
      <c r="M94" s="216">
        <v>0</v>
      </c>
      <c r="N94" s="142"/>
      <c r="O94" s="142"/>
      <c r="P94" s="20">
        <v>792.84</v>
      </c>
      <c r="Q94" s="216">
        <v>0</v>
      </c>
      <c r="R94" s="142"/>
      <c r="S94" s="216">
        <v>5707.16</v>
      </c>
      <c r="T94" s="142"/>
      <c r="U94" s="142"/>
      <c r="V94" s="142"/>
      <c r="W94" s="142"/>
      <c r="X94" s="217">
        <v>0.122</v>
      </c>
      <c r="Y94" s="142"/>
    </row>
    <row r="95" spans="2:25" x14ac:dyDescent="0.2">
      <c r="B95" s="21" t="s">
        <v>111</v>
      </c>
      <c r="C95" s="21" t="s">
        <v>218</v>
      </c>
      <c r="D95" s="220" t="s">
        <v>296</v>
      </c>
      <c r="E95" s="142"/>
      <c r="F95" s="142"/>
      <c r="G95" s="142"/>
      <c r="H95" s="218">
        <v>2500</v>
      </c>
      <c r="I95" s="142"/>
      <c r="J95" s="142"/>
      <c r="K95" s="22">
        <v>545</v>
      </c>
      <c r="L95" s="22">
        <v>1955</v>
      </c>
      <c r="M95" s="218">
        <v>0</v>
      </c>
      <c r="N95" s="142"/>
      <c r="O95" s="142"/>
      <c r="P95" s="22">
        <v>545</v>
      </c>
      <c r="Q95" s="218">
        <v>0</v>
      </c>
      <c r="R95" s="142"/>
      <c r="S95" s="218">
        <v>1955</v>
      </c>
      <c r="T95" s="142"/>
      <c r="U95" s="142"/>
      <c r="V95" s="142"/>
      <c r="W95" s="142"/>
      <c r="X95" s="219">
        <v>0.218</v>
      </c>
      <c r="Y95" s="142"/>
    </row>
    <row r="96" spans="2:25" x14ac:dyDescent="0.2">
      <c r="B96" s="21" t="s">
        <v>111</v>
      </c>
      <c r="C96" s="21" t="s">
        <v>219</v>
      </c>
      <c r="D96" s="220" t="s">
        <v>297</v>
      </c>
      <c r="E96" s="142"/>
      <c r="F96" s="142"/>
      <c r="G96" s="142"/>
      <c r="H96" s="218">
        <v>4000</v>
      </c>
      <c r="I96" s="142"/>
      <c r="J96" s="142"/>
      <c r="K96" s="22">
        <v>247.84</v>
      </c>
      <c r="L96" s="22">
        <v>3752.16</v>
      </c>
      <c r="M96" s="218">
        <v>0</v>
      </c>
      <c r="N96" s="142"/>
      <c r="O96" s="142"/>
      <c r="P96" s="22">
        <v>247.84</v>
      </c>
      <c r="Q96" s="218">
        <v>0</v>
      </c>
      <c r="R96" s="142"/>
      <c r="S96" s="218">
        <v>3752.16</v>
      </c>
      <c r="T96" s="142"/>
      <c r="U96" s="142"/>
      <c r="V96" s="142"/>
      <c r="W96" s="142"/>
      <c r="X96" s="219">
        <v>6.2E-2</v>
      </c>
      <c r="Y96" s="142"/>
    </row>
    <row r="97" spans="2:25" x14ac:dyDescent="0.2">
      <c r="B97" s="19" t="s">
        <v>250</v>
      </c>
      <c r="C97" s="19"/>
      <c r="D97" s="215" t="s">
        <v>251</v>
      </c>
      <c r="E97" s="142"/>
      <c r="F97" s="142"/>
      <c r="G97" s="142"/>
      <c r="H97" s="216">
        <v>0</v>
      </c>
      <c r="I97" s="142"/>
      <c r="J97" s="142"/>
      <c r="K97" s="20">
        <v>0</v>
      </c>
      <c r="L97" s="20">
        <v>0</v>
      </c>
      <c r="M97" s="216">
        <v>0</v>
      </c>
      <c r="N97" s="142"/>
      <c r="O97" s="142"/>
      <c r="P97" s="20">
        <v>0</v>
      </c>
      <c r="Q97" s="216">
        <v>0</v>
      </c>
      <c r="R97" s="142"/>
      <c r="S97" s="216">
        <v>0</v>
      </c>
      <c r="T97" s="142"/>
      <c r="U97" s="142"/>
      <c r="V97" s="142"/>
      <c r="W97" s="142"/>
      <c r="X97" s="217">
        <v>0</v>
      </c>
      <c r="Y97" s="142"/>
    </row>
    <row r="98" spans="2:25" x14ac:dyDescent="0.2">
      <c r="B98" s="19" t="s">
        <v>252</v>
      </c>
      <c r="C98" s="19"/>
      <c r="D98" s="215" t="s">
        <v>253</v>
      </c>
      <c r="E98" s="142"/>
      <c r="F98" s="142"/>
      <c r="G98" s="142"/>
      <c r="H98" s="216">
        <v>0</v>
      </c>
      <c r="I98" s="142"/>
      <c r="J98" s="142"/>
      <c r="K98" s="20">
        <v>0</v>
      </c>
      <c r="L98" s="20">
        <v>0</v>
      </c>
      <c r="M98" s="216">
        <v>0</v>
      </c>
      <c r="N98" s="142"/>
      <c r="O98" s="142"/>
      <c r="P98" s="20">
        <v>0</v>
      </c>
      <c r="Q98" s="216">
        <v>0</v>
      </c>
      <c r="R98" s="142"/>
      <c r="S98" s="216">
        <v>0</v>
      </c>
      <c r="T98" s="142"/>
      <c r="U98" s="142"/>
      <c r="V98" s="142"/>
      <c r="W98" s="142"/>
      <c r="X98" s="217">
        <v>0</v>
      </c>
      <c r="Y98" s="142"/>
    </row>
    <row r="99" spans="2:25" x14ac:dyDescent="0.2">
      <c r="B99" s="21" t="s">
        <v>254</v>
      </c>
      <c r="C99" s="21" t="s">
        <v>298</v>
      </c>
      <c r="D99" s="220" t="s">
        <v>299</v>
      </c>
      <c r="E99" s="142"/>
      <c r="F99" s="142"/>
      <c r="G99" s="142"/>
      <c r="H99" s="218">
        <v>0</v>
      </c>
      <c r="I99" s="142"/>
      <c r="J99" s="142"/>
      <c r="K99" s="22">
        <v>0</v>
      </c>
      <c r="L99" s="22">
        <v>0</v>
      </c>
      <c r="M99" s="218">
        <v>0</v>
      </c>
      <c r="N99" s="142"/>
      <c r="O99" s="142"/>
      <c r="P99" s="22">
        <v>0</v>
      </c>
      <c r="Q99" s="218">
        <v>0</v>
      </c>
      <c r="R99" s="142"/>
      <c r="S99" s="218">
        <v>0</v>
      </c>
      <c r="T99" s="142"/>
      <c r="U99" s="142"/>
      <c r="V99" s="142"/>
      <c r="W99" s="142"/>
      <c r="X99" s="219">
        <v>0</v>
      </c>
      <c r="Y99" s="142"/>
    </row>
    <row r="100" spans="2:25" x14ac:dyDescent="0.2">
      <c r="B100" s="19" t="s">
        <v>3</v>
      </c>
      <c r="C100" s="19"/>
      <c r="D100" s="215" t="s">
        <v>220</v>
      </c>
      <c r="E100" s="142"/>
      <c r="F100" s="142"/>
      <c r="G100" s="142"/>
      <c r="H100" s="216">
        <v>12194.82</v>
      </c>
      <c r="I100" s="142"/>
      <c r="J100" s="142"/>
      <c r="K100" s="20">
        <v>11864</v>
      </c>
      <c r="L100" s="20">
        <v>330.82</v>
      </c>
      <c r="M100" s="216">
        <v>0</v>
      </c>
      <c r="N100" s="142"/>
      <c r="O100" s="142"/>
      <c r="P100" s="20">
        <v>11864</v>
      </c>
      <c r="Q100" s="216">
        <v>0</v>
      </c>
      <c r="R100" s="142"/>
      <c r="S100" s="216">
        <v>330.82</v>
      </c>
      <c r="T100" s="142"/>
      <c r="U100" s="142"/>
      <c r="V100" s="142"/>
      <c r="W100" s="142"/>
      <c r="X100" s="217">
        <v>0.97299999999999998</v>
      </c>
      <c r="Y100" s="142"/>
    </row>
    <row r="101" spans="2:25" x14ac:dyDescent="0.2">
      <c r="B101" s="19" t="s">
        <v>221</v>
      </c>
      <c r="C101" s="19"/>
      <c r="D101" s="215" t="s">
        <v>222</v>
      </c>
      <c r="E101" s="142"/>
      <c r="F101" s="142"/>
      <c r="G101" s="142"/>
      <c r="H101" s="216">
        <v>12194.82</v>
      </c>
      <c r="I101" s="142"/>
      <c r="J101" s="142"/>
      <c r="K101" s="20">
        <v>11864</v>
      </c>
      <c r="L101" s="20">
        <v>330.82</v>
      </c>
      <c r="M101" s="216">
        <v>0</v>
      </c>
      <c r="N101" s="142"/>
      <c r="O101" s="142"/>
      <c r="P101" s="20">
        <v>11864</v>
      </c>
      <c r="Q101" s="216">
        <v>0</v>
      </c>
      <c r="R101" s="142"/>
      <c r="S101" s="216">
        <v>330.82</v>
      </c>
      <c r="T101" s="142"/>
      <c r="U101" s="142"/>
      <c r="V101" s="142"/>
      <c r="W101" s="142"/>
      <c r="X101" s="217">
        <v>0.97299999999999998</v>
      </c>
      <c r="Y101" s="142"/>
    </row>
    <row r="102" spans="2:25" x14ac:dyDescent="0.2">
      <c r="B102" s="19" t="s">
        <v>83</v>
      </c>
      <c r="C102" s="19"/>
      <c r="D102" s="215" t="s">
        <v>223</v>
      </c>
      <c r="E102" s="142"/>
      <c r="F102" s="142"/>
      <c r="G102" s="142"/>
      <c r="H102" s="216">
        <v>10849.99</v>
      </c>
      <c r="I102" s="142"/>
      <c r="J102" s="142"/>
      <c r="K102" s="20">
        <v>10519.17</v>
      </c>
      <c r="L102" s="20">
        <v>330.82</v>
      </c>
      <c r="M102" s="216">
        <v>0</v>
      </c>
      <c r="N102" s="142"/>
      <c r="O102" s="142"/>
      <c r="P102" s="20">
        <v>10519.17</v>
      </c>
      <c r="Q102" s="216">
        <v>0</v>
      </c>
      <c r="R102" s="142"/>
      <c r="S102" s="216">
        <v>330.82</v>
      </c>
      <c r="T102" s="142"/>
      <c r="U102" s="142"/>
      <c r="V102" s="142"/>
      <c r="W102" s="142"/>
      <c r="X102" s="217">
        <v>0.97</v>
      </c>
      <c r="Y102" s="142"/>
    </row>
    <row r="103" spans="2:25" x14ac:dyDescent="0.2">
      <c r="B103" s="21" t="s">
        <v>84</v>
      </c>
      <c r="C103" s="21" t="s">
        <v>224</v>
      </c>
      <c r="D103" s="220" t="s">
        <v>85</v>
      </c>
      <c r="E103" s="142"/>
      <c r="F103" s="142"/>
      <c r="G103" s="142"/>
      <c r="H103" s="218">
        <v>3000</v>
      </c>
      <c r="I103" s="142"/>
      <c r="J103" s="142"/>
      <c r="K103" s="22">
        <v>235</v>
      </c>
      <c r="L103" s="22">
        <v>2765</v>
      </c>
      <c r="M103" s="218">
        <v>0</v>
      </c>
      <c r="N103" s="142"/>
      <c r="O103" s="142"/>
      <c r="P103" s="22">
        <v>235</v>
      </c>
      <c r="Q103" s="218">
        <v>0</v>
      </c>
      <c r="R103" s="142"/>
      <c r="S103" s="218">
        <v>2765</v>
      </c>
      <c r="T103" s="142"/>
      <c r="U103" s="142"/>
      <c r="V103" s="142"/>
      <c r="W103" s="142"/>
      <c r="X103" s="219">
        <v>7.8E-2</v>
      </c>
      <c r="Y103" s="142"/>
    </row>
    <row r="104" spans="2:25" x14ac:dyDescent="0.2">
      <c r="B104" s="21" t="s">
        <v>112</v>
      </c>
      <c r="C104" s="21" t="s">
        <v>225</v>
      </c>
      <c r="D104" s="220" t="s">
        <v>300</v>
      </c>
      <c r="E104" s="142"/>
      <c r="F104" s="142"/>
      <c r="G104" s="142"/>
      <c r="H104" s="218">
        <v>7849.99</v>
      </c>
      <c r="I104" s="142"/>
      <c r="J104" s="142"/>
      <c r="K104" s="22">
        <v>10284.17</v>
      </c>
      <c r="L104" s="22">
        <v>-2434.1799999999998</v>
      </c>
      <c r="M104" s="218">
        <v>0</v>
      </c>
      <c r="N104" s="142"/>
      <c r="O104" s="142"/>
      <c r="P104" s="22">
        <v>10284.17</v>
      </c>
      <c r="Q104" s="218">
        <v>0</v>
      </c>
      <c r="R104" s="142"/>
      <c r="S104" s="218">
        <v>-2434.1799999999998</v>
      </c>
      <c r="T104" s="142"/>
      <c r="U104" s="142"/>
      <c r="V104" s="142"/>
      <c r="W104" s="142"/>
      <c r="X104" s="219">
        <v>1.31</v>
      </c>
      <c r="Y104" s="142"/>
    </row>
    <row r="105" spans="2:25" x14ac:dyDescent="0.2">
      <c r="B105" s="19" t="s">
        <v>226</v>
      </c>
      <c r="C105" s="19"/>
      <c r="D105" s="215" t="s">
        <v>227</v>
      </c>
      <c r="E105" s="142"/>
      <c r="F105" s="142"/>
      <c r="G105" s="142"/>
      <c r="H105" s="216">
        <v>1344.83</v>
      </c>
      <c r="I105" s="142"/>
      <c r="J105" s="142"/>
      <c r="K105" s="20">
        <v>1344.83</v>
      </c>
      <c r="L105" s="20">
        <v>0</v>
      </c>
      <c r="M105" s="216">
        <v>0</v>
      </c>
      <c r="N105" s="142"/>
      <c r="O105" s="142"/>
      <c r="P105" s="20">
        <v>1344.83</v>
      </c>
      <c r="Q105" s="216">
        <v>0</v>
      </c>
      <c r="R105" s="142"/>
      <c r="S105" s="216">
        <v>0</v>
      </c>
      <c r="T105" s="142"/>
      <c r="U105" s="142"/>
      <c r="V105" s="142"/>
      <c r="W105" s="142"/>
      <c r="X105" s="217">
        <v>1</v>
      </c>
      <c r="Y105" s="142"/>
    </row>
    <row r="106" spans="2:25" x14ac:dyDescent="0.2">
      <c r="B106" s="21" t="s">
        <v>228</v>
      </c>
      <c r="C106" s="21" t="s">
        <v>301</v>
      </c>
      <c r="D106" s="220" t="s">
        <v>302</v>
      </c>
      <c r="E106" s="142"/>
      <c r="F106" s="142"/>
      <c r="G106" s="142"/>
      <c r="H106" s="218">
        <v>1344.83</v>
      </c>
      <c r="I106" s="142"/>
      <c r="J106" s="142"/>
      <c r="K106" s="22">
        <v>1344.83</v>
      </c>
      <c r="L106" s="22">
        <v>0</v>
      </c>
      <c r="M106" s="218">
        <v>0</v>
      </c>
      <c r="N106" s="142"/>
      <c r="O106" s="142"/>
      <c r="P106" s="22">
        <v>1344.83</v>
      </c>
      <c r="Q106" s="218">
        <v>0</v>
      </c>
      <c r="R106" s="142"/>
      <c r="S106" s="218">
        <v>0</v>
      </c>
      <c r="T106" s="142"/>
      <c r="U106" s="142"/>
      <c r="V106" s="142"/>
      <c r="W106" s="142"/>
      <c r="X106" s="219">
        <v>1</v>
      </c>
      <c r="Y106" s="142"/>
    </row>
    <row r="107" spans="2:25" x14ac:dyDescent="0.2">
      <c r="B107" s="226" t="s">
        <v>173</v>
      </c>
      <c r="C107" s="142"/>
      <c r="D107" s="142"/>
      <c r="E107" s="142"/>
      <c r="F107" s="142"/>
      <c r="G107" s="142"/>
      <c r="H107" s="224">
        <v>3520</v>
      </c>
      <c r="I107" s="142"/>
      <c r="J107" s="142"/>
      <c r="K107" s="18">
        <v>0</v>
      </c>
      <c r="L107" s="18">
        <v>3520</v>
      </c>
      <c r="M107" s="224">
        <v>0</v>
      </c>
      <c r="N107" s="142"/>
      <c r="O107" s="142"/>
      <c r="P107" s="18">
        <v>0</v>
      </c>
      <c r="Q107" s="224">
        <v>0</v>
      </c>
      <c r="R107" s="142"/>
      <c r="S107" s="224">
        <v>3520</v>
      </c>
      <c r="T107" s="142"/>
      <c r="U107" s="142"/>
      <c r="V107" s="142"/>
      <c r="W107" s="142"/>
      <c r="X107" s="225">
        <v>0</v>
      </c>
      <c r="Y107" s="142"/>
    </row>
    <row r="108" spans="2:25" x14ac:dyDescent="0.2">
      <c r="B108" s="19" t="s">
        <v>2</v>
      </c>
      <c r="C108" s="19"/>
      <c r="D108" s="215" t="s">
        <v>161</v>
      </c>
      <c r="E108" s="142"/>
      <c r="F108" s="142"/>
      <c r="G108" s="142"/>
      <c r="H108" s="216">
        <v>3520</v>
      </c>
      <c r="I108" s="142"/>
      <c r="J108" s="142"/>
      <c r="K108" s="20">
        <v>0</v>
      </c>
      <c r="L108" s="20">
        <v>3520</v>
      </c>
      <c r="M108" s="216">
        <v>0</v>
      </c>
      <c r="N108" s="142"/>
      <c r="O108" s="142"/>
      <c r="P108" s="20">
        <v>0</v>
      </c>
      <c r="Q108" s="216">
        <v>0</v>
      </c>
      <c r="R108" s="142"/>
      <c r="S108" s="216">
        <v>3520</v>
      </c>
      <c r="T108" s="142"/>
      <c r="U108" s="142"/>
      <c r="V108" s="142"/>
      <c r="W108" s="142"/>
      <c r="X108" s="217">
        <v>0</v>
      </c>
      <c r="Y108" s="142"/>
    </row>
    <row r="109" spans="2:25" x14ac:dyDescent="0.2">
      <c r="B109" s="19" t="s">
        <v>162</v>
      </c>
      <c r="C109" s="19"/>
      <c r="D109" s="215" t="s">
        <v>163</v>
      </c>
      <c r="E109" s="142"/>
      <c r="F109" s="142"/>
      <c r="G109" s="142"/>
      <c r="H109" s="216">
        <v>3520</v>
      </c>
      <c r="I109" s="142"/>
      <c r="J109" s="142"/>
      <c r="K109" s="20">
        <v>0</v>
      </c>
      <c r="L109" s="20">
        <v>3520</v>
      </c>
      <c r="M109" s="216">
        <v>0</v>
      </c>
      <c r="N109" s="142"/>
      <c r="O109" s="142"/>
      <c r="P109" s="20">
        <v>0</v>
      </c>
      <c r="Q109" s="216">
        <v>0</v>
      </c>
      <c r="R109" s="142"/>
      <c r="S109" s="216">
        <v>3520</v>
      </c>
      <c r="T109" s="142"/>
      <c r="U109" s="142"/>
      <c r="V109" s="142"/>
      <c r="W109" s="142"/>
      <c r="X109" s="217">
        <v>0</v>
      </c>
      <c r="Y109" s="142"/>
    </row>
    <row r="110" spans="2:25" x14ac:dyDescent="0.2">
      <c r="B110" s="19" t="s">
        <v>108</v>
      </c>
      <c r="C110" s="19"/>
      <c r="D110" s="215" t="s">
        <v>168</v>
      </c>
      <c r="E110" s="142"/>
      <c r="F110" s="142"/>
      <c r="G110" s="142"/>
      <c r="H110" s="216">
        <v>3520</v>
      </c>
      <c r="I110" s="142"/>
      <c r="J110" s="142"/>
      <c r="K110" s="20">
        <v>0</v>
      </c>
      <c r="L110" s="20">
        <v>3520</v>
      </c>
      <c r="M110" s="216">
        <v>0</v>
      </c>
      <c r="N110" s="142"/>
      <c r="O110" s="142"/>
      <c r="P110" s="20">
        <v>0</v>
      </c>
      <c r="Q110" s="216">
        <v>0</v>
      </c>
      <c r="R110" s="142"/>
      <c r="S110" s="216">
        <v>3520</v>
      </c>
      <c r="T110" s="142"/>
      <c r="U110" s="142"/>
      <c r="V110" s="142"/>
      <c r="W110" s="142"/>
      <c r="X110" s="217">
        <v>0</v>
      </c>
      <c r="Y110" s="142"/>
    </row>
    <row r="111" spans="2:25" x14ac:dyDescent="0.2">
      <c r="B111" s="21" t="s">
        <v>111</v>
      </c>
      <c r="C111" s="21" t="s">
        <v>230</v>
      </c>
      <c r="D111" s="220" t="s">
        <v>303</v>
      </c>
      <c r="E111" s="142"/>
      <c r="F111" s="142"/>
      <c r="G111" s="142"/>
      <c r="H111" s="218">
        <v>3520</v>
      </c>
      <c r="I111" s="142"/>
      <c r="J111" s="142"/>
      <c r="K111" s="22">
        <v>0</v>
      </c>
      <c r="L111" s="22">
        <v>3520</v>
      </c>
      <c r="M111" s="218">
        <v>0</v>
      </c>
      <c r="N111" s="142"/>
      <c r="O111" s="142"/>
      <c r="P111" s="22">
        <v>0</v>
      </c>
      <c r="Q111" s="218">
        <v>0</v>
      </c>
      <c r="R111" s="142"/>
      <c r="S111" s="218">
        <v>3520</v>
      </c>
      <c r="T111" s="142"/>
      <c r="U111" s="142"/>
      <c r="V111" s="142"/>
      <c r="W111" s="142"/>
      <c r="X111" s="219">
        <v>0</v>
      </c>
      <c r="Y111" s="142"/>
    </row>
    <row r="112" spans="2:25" x14ac:dyDescent="0.2">
      <c r="B112" s="226" t="s">
        <v>231</v>
      </c>
      <c r="C112" s="142"/>
      <c r="D112" s="142"/>
      <c r="E112" s="142"/>
      <c r="F112" s="142"/>
      <c r="G112" s="142"/>
      <c r="H112" s="224">
        <v>12812.19</v>
      </c>
      <c r="I112" s="142"/>
      <c r="J112" s="142"/>
      <c r="K112" s="18">
        <v>9151.9599999999991</v>
      </c>
      <c r="L112" s="18">
        <v>3660.23</v>
      </c>
      <c r="M112" s="224">
        <v>0</v>
      </c>
      <c r="N112" s="142"/>
      <c r="O112" s="142"/>
      <c r="P112" s="18">
        <v>9151.9599999999991</v>
      </c>
      <c r="Q112" s="224">
        <v>0</v>
      </c>
      <c r="R112" s="142"/>
      <c r="S112" s="224">
        <v>3660.23</v>
      </c>
      <c r="T112" s="142"/>
      <c r="U112" s="142"/>
      <c r="V112" s="142"/>
      <c r="W112" s="142"/>
      <c r="X112" s="225">
        <v>0.71399999999999997</v>
      </c>
      <c r="Y112" s="142"/>
    </row>
    <row r="113" spans="2:25" x14ac:dyDescent="0.2">
      <c r="B113" s="19" t="s">
        <v>2</v>
      </c>
      <c r="C113" s="19"/>
      <c r="D113" s="215" t="s">
        <v>161</v>
      </c>
      <c r="E113" s="142"/>
      <c r="F113" s="142"/>
      <c r="G113" s="142"/>
      <c r="H113" s="216">
        <v>12812.19</v>
      </c>
      <c r="I113" s="142"/>
      <c r="J113" s="142"/>
      <c r="K113" s="20">
        <v>9151.9599999999991</v>
      </c>
      <c r="L113" s="20">
        <v>3660.23</v>
      </c>
      <c r="M113" s="216">
        <v>0</v>
      </c>
      <c r="N113" s="142"/>
      <c r="O113" s="142"/>
      <c r="P113" s="20">
        <v>9151.9599999999991</v>
      </c>
      <c r="Q113" s="216">
        <v>0</v>
      </c>
      <c r="R113" s="142"/>
      <c r="S113" s="216">
        <v>3660.23</v>
      </c>
      <c r="T113" s="142"/>
      <c r="U113" s="142"/>
      <c r="V113" s="142"/>
      <c r="W113" s="142"/>
      <c r="X113" s="217">
        <v>0.71399999999999997</v>
      </c>
      <c r="Y113" s="142"/>
    </row>
    <row r="114" spans="2:25" x14ac:dyDescent="0.2">
      <c r="B114" s="19" t="s">
        <v>162</v>
      </c>
      <c r="C114" s="19"/>
      <c r="D114" s="215" t="s">
        <v>163</v>
      </c>
      <c r="E114" s="142"/>
      <c r="F114" s="142"/>
      <c r="G114" s="142"/>
      <c r="H114" s="216">
        <v>12812.19</v>
      </c>
      <c r="I114" s="142"/>
      <c r="J114" s="142"/>
      <c r="K114" s="20">
        <v>9151.9599999999991</v>
      </c>
      <c r="L114" s="20">
        <v>3660.23</v>
      </c>
      <c r="M114" s="216">
        <v>0</v>
      </c>
      <c r="N114" s="142"/>
      <c r="O114" s="142"/>
      <c r="P114" s="20">
        <v>9151.9599999999991</v>
      </c>
      <c r="Q114" s="216">
        <v>0</v>
      </c>
      <c r="R114" s="142"/>
      <c r="S114" s="216">
        <v>3660.23</v>
      </c>
      <c r="T114" s="142"/>
      <c r="U114" s="142"/>
      <c r="V114" s="142"/>
      <c r="W114" s="142"/>
      <c r="X114" s="217">
        <v>0.71399999999999997</v>
      </c>
      <c r="Y114" s="142"/>
    </row>
    <row r="115" spans="2:25" x14ac:dyDescent="0.2">
      <c r="B115" s="19" t="s">
        <v>232</v>
      </c>
      <c r="C115" s="19"/>
      <c r="D115" s="215" t="s">
        <v>233</v>
      </c>
      <c r="E115" s="142"/>
      <c r="F115" s="142"/>
      <c r="G115" s="142"/>
      <c r="H115" s="216">
        <v>12812.19</v>
      </c>
      <c r="I115" s="142"/>
      <c r="J115" s="142"/>
      <c r="K115" s="20">
        <v>9151.9599999999991</v>
      </c>
      <c r="L115" s="20">
        <v>3660.23</v>
      </c>
      <c r="M115" s="216">
        <v>0</v>
      </c>
      <c r="N115" s="142"/>
      <c r="O115" s="142"/>
      <c r="P115" s="20">
        <v>9151.9599999999991</v>
      </c>
      <c r="Q115" s="216">
        <v>0</v>
      </c>
      <c r="R115" s="142"/>
      <c r="S115" s="216">
        <v>3660.23</v>
      </c>
      <c r="T115" s="142"/>
      <c r="U115" s="142"/>
      <c r="V115" s="142"/>
      <c r="W115" s="142"/>
      <c r="X115" s="217">
        <v>0.71399999999999997</v>
      </c>
      <c r="Y115" s="142"/>
    </row>
    <row r="116" spans="2:25" x14ac:dyDescent="0.2">
      <c r="B116" s="21" t="s">
        <v>234</v>
      </c>
      <c r="C116" s="21" t="s">
        <v>235</v>
      </c>
      <c r="D116" s="220" t="s">
        <v>304</v>
      </c>
      <c r="E116" s="142"/>
      <c r="F116" s="142"/>
      <c r="G116" s="142"/>
      <c r="H116" s="218">
        <v>12812.19</v>
      </c>
      <c r="I116" s="142"/>
      <c r="J116" s="142"/>
      <c r="K116" s="22">
        <v>9151.9599999999991</v>
      </c>
      <c r="L116" s="22">
        <v>3660.23</v>
      </c>
      <c r="M116" s="218">
        <v>0</v>
      </c>
      <c r="N116" s="142"/>
      <c r="O116" s="142"/>
      <c r="P116" s="22">
        <v>9151.9599999999991</v>
      </c>
      <c r="Q116" s="218">
        <v>0</v>
      </c>
      <c r="R116" s="142"/>
      <c r="S116" s="218">
        <v>3660.23</v>
      </c>
      <c r="T116" s="142"/>
      <c r="U116" s="142"/>
      <c r="V116" s="142"/>
      <c r="W116" s="142"/>
      <c r="X116" s="219">
        <v>0.71399999999999997</v>
      </c>
      <c r="Y116" s="142"/>
    </row>
    <row r="117" spans="2:25" x14ac:dyDescent="0.2">
      <c r="B117" s="226" t="s">
        <v>236</v>
      </c>
      <c r="C117" s="142"/>
      <c r="D117" s="142"/>
      <c r="E117" s="142"/>
      <c r="F117" s="142"/>
      <c r="G117" s="142"/>
      <c r="H117" s="224">
        <v>5188081.25</v>
      </c>
      <c r="I117" s="142"/>
      <c r="J117" s="142"/>
      <c r="K117" s="18">
        <v>3607056.85</v>
      </c>
      <c r="L117" s="18">
        <v>1581024.4</v>
      </c>
      <c r="M117" s="224">
        <v>0</v>
      </c>
      <c r="N117" s="142"/>
      <c r="O117" s="142"/>
      <c r="P117" s="18">
        <v>3607056.85</v>
      </c>
      <c r="Q117" s="224">
        <v>0</v>
      </c>
      <c r="R117" s="142"/>
      <c r="S117" s="224">
        <v>1581024.4</v>
      </c>
      <c r="T117" s="142"/>
      <c r="U117" s="142"/>
      <c r="V117" s="142"/>
      <c r="W117" s="142"/>
      <c r="X117" s="225">
        <v>0.69499999999999995</v>
      </c>
      <c r="Y117" s="142"/>
    </row>
    <row r="118" spans="2:25" x14ac:dyDescent="0.2">
      <c r="B118" s="19" t="s">
        <v>2</v>
      </c>
      <c r="C118" s="19"/>
      <c r="D118" s="215" t="s">
        <v>161</v>
      </c>
      <c r="E118" s="142"/>
      <c r="F118" s="142"/>
      <c r="G118" s="142"/>
      <c r="H118" s="216">
        <v>5041034.04</v>
      </c>
      <c r="I118" s="142"/>
      <c r="J118" s="142"/>
      <c r="K118" s="20">
        <v>3551730.73</v>
      </c>
      <c r="L118" s="20">
        <v>1489303.31</v>
      </c>
      <c r="M118" s="216">
        <v>0</v>
      </c>
      <c r="N118" s="142"/>
      <c r="O118" s="142"/>
      <c r="P118" s="20">
        <v>3551730.73</v>
      </c>
      <c r="Q118" s="216">
        <v>0</v>
      </c>
      <c r="R118" s="142"/>
      <c r="S118" s="216">
        <v>1489303.31</v>
      </c>
      <c r="T118" s="142"/>
      <c r="U118" s="142"/>
      <c r="V118" s="142"/>
      <c r="W118" s="142"/>
      <c r="X118" s="217">
        <v>0.70499999999999996</v>
      </c>
      <c r="Y118" s="142"/>
    </row>
    <row r="119" spans="2:25" x14ac:dyDescent="0.2">
      <c r="B119" s="19" t="s">
        <v>237</v>
      </c>
      <c r="C119" s="19"/>
      <c r="D119" s="215" t="s">
        <v>238</v>
      </c>
      <c r="E119" s="142"/>
      <c r="F119" s="142"/>
      <c r="G119" s="142"/>
      <c r="H119" s="216">
        <v>4812950</v>
      </c>
      <c r="I119" s="142"/>
      <c r="J119" s="142"/>
      <c r="K119" s="20">
        <v>3442882.57</v>
      </c>
      <c r="L119" s="20">
        <v>1370067.43</v>
      </c>
      <c r="M119" s="216">
        <v>0</v>
      </c>
      <c r="N119" s="142"/>
      <c r="O119" s="142"/>
      <c r="P119" s="20">
        <v>3442882.57</v>
      </c>
      <c r="Q119" s="216">
        <v>0</v>
      </c>
      <c r="R119" s="142"/>
      <c r="S119" s="216">
        <v>1370067.43</v>
      </c>
      <c r="T119" s="142"/>
      <c r="U119" s="142"/>
      <c r="V119" s="142"/>
      <c r="W119" s="142"/>
      <c r="X119" s="217">
        <v>0.71499999999999997</v>
      </c>
      <c r="Y119" s="142"/>
    </row>
    <row r="120" spans="2:25" x14ac:dyDescent="0.2">
      <c r="B120" s="19" t="s">
        <v>68</v>
      </c>
      <c r="C120" s="19"/>
      <c r="D120" s="215" t="s">
        <v>239</v>
      </c>
      <c r="E120" s="142"/>
      <c r="F120" s="142"/>
      <c r="G120" s="142"/>
      <c r="H120" s="216">
        <v>3972320</v>
      </c>
      <c r="I120" s="142"/>
      <c r="J120" s="142"/>
      <c r="K120" s="20">
        <v>2870612.46</v>
      </c>
      <c r="L120" s="20">
        <v>1101707.54</v>
      </c>
      <c r="M120" s="216">
        <v>0</v>
      </c>
      <c r="N120" s="142"/>
      <c r="O120" s="142"/>
      <c r="P120" s="20">
        <v>2870612.46</v>
      </c>
      <c r="Q120" s="216">
        <v>0</v>
      </c>
      <c r="R120" s="142"/>
      <c r="S120" s="216">
        <v>1101707.54</v>
      </c>
      <c r="T120" s="142"/>
      <c r="U120" s="142"/>
      <c r="V120" s="142"/>
      <c r="W120" s="142"/>
      <c r="X120" s="217">
        <v>0.72299999999999998</v>
      </c>
      <c r="Y120" s="142"/>
    </row>
    <row r="121" spans="2:25" x14ac:dyDescent="0.2">
      <c r="B121" s="21" t="s">
        <v>69</v>
      </c>
      <c r="C121" s="21" t="s">
        <v>240</v>
      </c>
      <c r="D121" s="220" t="s">
        <v>70</v>
      </c>
      <c r="E121" s="142"/>
      <c r="F121" s="142"/>
      <c r="G121" s="142"/>
      <c r="H121" s="218">
        <v>3972320</v>
      </c>
      <c r="I121" s="142"/>
      <c r="J121" s="142"/>
      <c r="K121" s="22">
        <v>2870612.46</v>
      </c>
      <c r="L121" s="22">
        <v>1101707.54</v>
      </c>
      <c r="M121" s="218">
        <v>0</v>
      </c>
      <c r="N121" s="142"/>
      <c r="O121" s="142"/>
      <c r="P121" s="22">
        <v>2870612.46</v>
      </c>
      <c r="Q121" s="218">
        <v>0</v>
      </c>
      <c r="R121" s="142"/>
      <c r="S121" s="218">
        <v>1101707.54</v>
      </c>
      <c r="T121" s="142"/>
      <c r="U121" s="142"/>
      <c r="V121" s="142"/>
      <c r="W121" s="142"/>
      <c r="X121" s="219">
        <v>0.72299999999999998</v>
      </c>
      <c r="Y121" s="142"/>
    </row>
    <row r="122" spans="2:25" x14ac:dyDescent="0.2">
      <c r="B122" s="19" t="s">
        <v>71</v>
      </c>
      <c r="C122" s="19"/>
      <c r="D122" s="215" t="s">
        <v>241</v>
      </c>
      <c r="E122" s="142"/>
      <c r="F122" s="142"/>
      <c r="G122" s="142"/>
      <c r="H122" s="216">
        <v>185380</v>
      </c>
      <c r="I122" s="142"/>
      <c r="J122" s="142"/>
      <c r="K122" s="20">
        <v>86844.81</v>
      </c>
      <c r="L122" s="20">
        <v>98535.19</v>
      </c>
      <c r="M122" s="216">
        <v>0</v>
      </c>
      <c r="N122" s="142"/>
      <c r="O122" s="142"/>
      <c r="P122" s="20">
        <v>86844.81</v>
      </c>
      <c r="Q122" s="216">
        <v>0</v>
      </c>
      <c r="R122" s="142"/>
      <c r="S122" s="216">
        <v>98535.19</v>
      </c>
      <c r="T122" s="142"/>
      <c r="U122" s="142"/>
      <c r="V122" s="142"/>
      <c r="W122" s="142"/>
      <c r="X122" s="217">
        <v>0.46899999999999997</v>
      </c>
      <c r="Y122" s="142"/>
    </row>
    <row r="123" spans="2:25" x14ac:dyDescent="0.2">
      <c r="B123" s="21" t="s">
        <v>73</v>
      </c>
      <c r="C123" s="21" t="s">
        <v>242</v>
      </c>
      <c r="D123" s="220" t="s">
        <v>72</v>
      </c>
      <c r="E123" s="142"/>
      <c r="F123" s="142"/>
      <c r="G123" s="142"/>
      <c r="H123" s="218">
        <v>185380</v>
      </c>
      <c r="I123" s="142"/>
      <c r="J123" s="142"/>
      <c r="K123" s="22">
        <v>86844.81</v>
      </c>
      <c r="L123" s="22">
        <v>98535.19</v>
      </c>
      <c r="M123" s="218">
        <v>0</v>
      </c>
      <c r="N123" s="142"/>
      <c r="O123" s="142"/>
      <c r="P123" s="22">
        <v>86844.81</v>
      </c>
      <c r="Q123" s="218">
        <v>0</v>
      </c>
      <c r="R123" s="142"/>
      <c r="S123" s="218">
        <v>98535.19</v>
      </c>
      <c r="T123" s="142"/>
      <c r="U123" s="142"/>
      <c r="V123" s="142"/>
      <c r="W123" s="142"/>
      <c r="X123" s="219">
        <v>0.46899999999999997</v>
      </c>
      <c r="Y123" s="142"/>
    </row>
    <row r="124" spans="2:25" x14ac:dyDescent="0.2">
      <c r="B124" s="19" t="s">
        <v>74</v>
      </c>
      <c r="C124" s="19"/>
      <c r="D124" s="215" t="s">
        <v>243</v>
      </c>
      <c r="E124" s="142"/>
      <c r="F124" s="142"/>
      <c r="G124" s="142"/>
      <c r="H124" s="216">
        <v>655250</v>
      </c>
      <c r="I124" s="142"/>
      <c r="J124" s="142"/>
      <c r="K124" s="20">
        <v>485425.3</v>
      </c>
      <c r="L124" s="20">
        <v>169824.7</v>
      </c>
      <c r="M124" s="216">
        <v>0</v>
      </c>
      <c r="N124" s="142"/>
      <c r="O124" s="142"/>
      <c r="P124" s="20">
        <v>485425.3</v>
      </c>
      <c r="Q124" s="216">
        <v>0</v>
      </c>
      <c r="R124" s="142"/>
      <c r="S124" s="216">
        <v>169824.7</v>
      </c>
      <c r="T124" s="142"/>
      <c r="U124" s="142"/>
      <c r="V124" s="142"/>
      <c r="W124" s="142"/>
      <c r="X124" s="217">
        <v>0.74099999999999999</v>
      </c>
      <c r="Y124" s="142"/>
    </row>
    <row r="125" spans="2:25" x14ac:dyDescent="0.2">
      <c r="B125" s="21" t="s">
        <v>75</v>
      </c>
      <c r="C125" s="21" t="s">
        <v>244</v>
      </c>
      <c r="D125" s="220" t="s">
        <v>76</v>
      </c>
      <c r="E125" s="142"/>
      <c r="F125" s="142"/>
      <c r="G125" s="142"/>
      <c r="H125" s="218">
        <v>655250</v>
      </c>
      <c r="I125" s="142"/>
      <c r="J125" s="142"/>
      <c r="K125" s="22">
        <v>485425.3</v>
      </c>
      <c r="L125" s="22">
        <v>169824.7</v>
      </c>
      <c r="M125" s="218">
        <v>0</v>
      </c>
      <c r="N125" s="142"/>
      <c r="O125" s="142"/>
      <c r="P125" s="22">
        <v>485425.3</v>
      </c>
      <c r="Q125" s="218">
        <v>0</v>
      </c>
      <c r="R125" s="142"/>
      <c r="S125" s="218">
        <v>169824.7</v>
      </c>
      <c r="T125" s="142"/>
      <c r="U125" s="142"/>
      <c r="V125" s="142"/>
      <c r="W125" s="142"/>
      <c r="X125" s="219">
        <v>0.74099999999999999</v>
      </c>
      <c r="Y125" s="142"/>
    </row>
    <row r="126" spans="2:25" x14ac:dyDescent="0.2">
      <c r="B126" s="19" t="s">
        <v>162</v>
      </c>
      <c r="C126" s="19"/>
      <c r="D126" s="215" t="s">
        <v>163</v>
      </c>
      <c r="E126" s="142"/>
      <c r="F126" s="142"/>
      <c r="G126" s="142"/>
      <c r="H126" s="216">
        <v>218419.92</v>
      </c>
      <c r="I126" s="142"/>
      <c r="J126" s="142"/>
      <c r="K126" s="20">
        <v>104219.14</v>
      </c>
      <c r="L126" s="20">
        <v>114200.78</v>
      </c>
      <c r="M126" s="216">
        <v>0</v>
      </c>
      <c r="N126" s="142"/>
      <c r="O126" s="142"/>
      <c r="P126" s="20">
        <v>104219.14</v>
      </c>
      <c r="Q126" s="216">
        <v>0</v>
      </c>
      <c r="R126" s="142"/>
      <c r="S126" s="216">
        <v>114200.78</v>
      </c>
      <c r="T126" s="142"/>
      <c r="U126" s="142"/>
      <c r="V126" s="142"/>
      <c r="W126" s="142"/>
      <c r="X126" s="217">
        <v>0.47699999999999998</v>
      </c>
      <c r="Y126" s="142"/>
    </row>
    <row r="127" spans="2:25" x14ac:dyDescent="0.2">
      <c r="B127" s="19" t="s">
        <v>77</v>
      </c>
      <c r="C127" s="19"/>
      <c r="D127" s="215" t="s">
        <v>164</v>
      </c>
      <c r="E127" s="142"/>
      <c r="F127" s="142"/>
      <c r="G127" s="142"/>
      <c r="H127" s="216">
        <v>194570</v>
      </c>
      <c r="I127" s="142"/>
      <c r="J127" s="142"/>
      <c r="K127" s="20">
        <v>91306.72</v>
      </c>
      <c r="L127" s="20">
        <v>103263.28</v>
      </c>
      <c r="M127" s="216">
        <v>0</v>
      </c>
      <c r="N127" s="142"/>
      <c r="O127" s="142"/>
      <c r="P127" s="20">
        <v>91306.72</v>
      </c>
      <c r="Q127" s="216">
        <v>0</v>
      </c>
      <c r="R127" s="142"/>
      <c r="S127" s="216">
        <v>103263.28</v>
      </c>
      <c r="T127" s="142"/>
      <c r="U127" s="142"/>
      <c r="V127" s="142"/>
      <c r="W127" s="142"/>
      <c r="X127" s="217">
        <v>0.46899999999999997</v>
      </c>
      <c r="Y127" s="142"/>
    </row>
    <row r="128" spans="2:25" x14ac:dyDescent="0.2">
      <c r="B128" s="21" t="s">
        <v>165</v>
      </c>
      <c r="C128" s="21" t="s">
        <v>245</v>
      </c>
      <c r="D128" s="220" t="s">
        <v>305</v>
      </c>
      <c r="E128" s="142"/>
      <c r="F128" s="142"/>
      <c r="G128" s="142"/>
      <c r="H128" s="218">
        <v>500</v>
      </c>
      <c r="I128" s="142"/>
      <c r="J128" s="142"/>
      <c r="K128" s="22">
        <v>0</v>
      </c>
      <c r="L128" s="22">
        <v>500</v>
      </c>
      <c r="M128" s="218">
        <v>0</v>
      </c>
      <c r="N128" s="142"/>
      <c r="O128" s="142"/>
      <c r="P128" s="22">
        <v>0</v>
      </c>
      <c r="Q128" s="218">
        <v>0</v>
      </c>
      <c r="R128" s="142"/>
      <c r="S128" s="218">
        <v>500</v>
      </c>
      <c r="T128" s="142"/>
      <c r="U128" s="142"/>
      <c r="V128" s="142"/>
      <c r="W128" s="142"/>
      <c r="X128" s="219">
        <v>0</v>
      </c>
      <c r="Y128" s="142"/>
    </row>
    <row r="129" spans="2:25" x14ac:dyDescent="0.2">
      <c r="B129" s="21" t="s">
        <v>78</v>
      </c>
      <c r="C129" s="21" t="s">
        <v>246</v>
      </c>
      <c r="D129" s="220" t="s">
        <v>79</v>
      </c>
      <c r="E129" s="142"/>
      <c r="F129" s="142"/>
      <c r="G129" s="142"/>
      <c r="H129" s="218">
        <v>194070</v>
      </c>
      <c r="I129" s="142"/>
      <c r="J129" s="142"/>
      <c r="K129" s="22">
        <v>91306.72</v>
      </c>
      <c r="L129" s="22">
        <v>102763.28</v>
      </c>
      <c r="M129" s="218">
        <v>0</v>
      </c>
      <c r="N129" s="142"/>
      <c r="O129" s="142"/>
      <c r="P129" s="22">
        <v>91306.72</v>
      </c>
      <c r="Q129" s="218">
        <v>0</v>
      </c>
      <c r="R129" s="142"/>
      <c r="S129" s="218">
        <v>102763.28</v>
      </c>
      <c r="T129" s="142"/>
      <c r="U129" s="142"/>
      <c r="V129" s="142"/>
      <c r="W129" s="142"/>
      <c r="X129" s="219">
        <v>0.47099999999999997</v>
      </c>
      <c r="Y129" s="142"/>
    </row>
    <row r="130" spans="2:25" x14ac:dyDescent="0.2">
      <c r="B130" s="19" t="s">
        <v>88</v>
      </c>
      <c r="C130" s="19"/>
      <c r="D130" s="215" t="s">
        <v>171</v>
      </c>
      <c r="E130" s="142"/>
      <c r="F130" s="142"/>
      <c r="G130" s="142"/>
      <c r="H130" s="216">
        <v>4849.92</v>
      </c>
      <c r="I130" s="142"/>
      <c r="J130" s="142"/>
      <c r="K130" s="20">
        <v>4349.92</v>
      </c>
      <c r="L130" s="20">
        <v>500</v>
      </c>
      <c r="M130" s="216">
        <v>0</v>
      </c>
      <c r="N130" s="142"/>
      <c r="O130" s="142"/>
      <c r="P130" s="20">
        <v>4349.92</v>
      </c>
      <c r="Q130" s="216">
        <v>0</v>
      </c>
      <c r="R130" s="142"/>
      <c r="S130" s="216">
        <v>500</v>
      </c>
      <c r="T130" s="142"/>
      <c r="U130" s="142"/>
      <c r="V130" s="142"/>
      <c r="W130" s="142"/>
      <c r="X130" s="217">
        <v>0.89700000000000002</v>
      </c>
      <c r="Y130" s="142"/>
    </row>
    <row r="131" spans="2:25" x14ac:dyDescent="0.2">
      <c r="B131" s="21" t="s">
        <v>89</v>
      </c>
      <c r="C131" s="21" t="s">
        <v>247</v>
      </c>
      <c r="D131" s="220" t="s">
        <v>306</v>
      </c>
      <c r="E131" s="142"/>
      <c r="F131" s="142"/>
      <c r="G131" s="142"/>
      <c r="H131" s="218">
        <v>500</v>
      </c>
      <c r="I131" s="142"/>
      <c r="J131" s="142"/>
      <c r="K131" s="22">
        <v>0</v>
      </c>
      <c r="L131" s="22">
        <v>500</v>
      </c>
      <c r="M131" s="218">
        <v>0</v>
      </c>
      <c r="N131" s="142"/>
      <c r="O131" s="142"/>
      <c r="P131" s="22">
        <v>0</v>
      </c>
      <c r="Q131" s="218">
        <v>0</v>
      </c>
      <c r="R131" s="142"/>
      <c r="S131" s="218">
        <v>500</v>
      </c>
      <c r="T131" s="142"/>
      <c r="U131" s="142"/>
      <c r="V131" s="142"/>
      <c r="W131" s="142"/>
      <c r="X131" s="219">
        <v>0</v>
      </c>
      <c r="Y131" s="142"/>
    </row>
    <row r="132" spans="2:25" x14ac:dyDescent="0.2">
      <c r="B132" s="21" t="s">
        <v>89</v>
      </c>
      <c r="C132" s="21" t="s">
        <v>307</v>
      </c>
      <c r="D132" s="220" t="s">
        <v>308</v>
      </c>
      <c r="E132" s="142"/>
      <c r="F132" s="142"/>
      <c r="G132" s="142"/>
      <c r="H132" s="218">
        <v>4349.92</v>
      </c>
      <c r="I132" s="142"/>
      <c r="J132" s="142"/>
      <c r="K132" s="22">
        <v>4349.92</v>
      </c>
      <c r="L132" s="22">
        <v>0</v>
      </c>
      <c r="M132" s="218">
        <v>0</v>
      </c>
      <c r="N132" s="142"/>
      <c r="O132" s="142"/>
      <c r="P132" s="22">
        <v>4349.92</v>
      </c>
      <c r="Q132" s="218">
        <v>0</v>
      </c>
      <c r="R132" s="142"/>
      <c r="S132" s="218">
        <v>0</v>
      </c>
      <c r="T132" s="142"/>
      <c r="U132" s="142"/>
      <c r="V132" s="142"/>
      <c r="W132" s="142"/>
      <c r="X132" s="219">
        <v>1</v>
      </c>
      <c r="Y132" s="142"/>
    </row>
    <row r="133" spans="2:25" x14ac:dyDescent="0.2">
      <c r="B133" s="19" t="s">
        <v>80</v>
      </c>
      <c r="C133" s="19"/>
      <c r="D133" s="215" t="s">
        <v>191</v>
      </c>
      <c r="E133" s="142"/>
      <c r="F133" s="142"/>
      <c r="G133" s="142"/>
      <c r="H133" s="216">
        <v>1000</v>
      </c>
      <c r="I133" s="142"/>
      <c r="J133" s="142"/>
      <c r="K133" s="20">
        <v>0</v>
      </c>
      <c r="L133" s="20">
        <v>1000</v>
      </c>
      <c r="M133" s="216">
        <v>0</v>
      </c>
      <c r="N133" s="142"/>
      <c r="O133" s="142"/>
      <c r="P133" s="20">
        <v>0</v>
      </c>
      <c r="Q133" s="216">
        <v>0</v>
      </c>
      <c r="R133" s="142"/>
      <c r="S133" s="216">
        <v>1000</v>
      </c>
      <c r="T133" s="142"/>
      <c r="U133" s="142"/>
      <c r="V133" s="142"/>
      <c r="W133" s="142"/>
      <c r="X133" s="217">
        <v>0</v>
      </c>
      <c r="Y133" s="142"/>
    </row>
    <row r="134" spans="2:25" x14ac:dyDescent="0.2">
      <c r="B134" s="21" t="s">
        <v>105</v>
      </c>
      <c r="C134" s="21" t="s">
        <v>248</v>
      </c>
      <c r="D134" s="220" t="s">
        <v>309</v>
      </c>
      <c r="E134" s="142"/>
      <c r="F134" s="142"/>
      <c r="G134" s="142"/>
      <c r="H134" s="218">
        <v>1000</v>
      </c>
      <c r="I134" s="142"/>
      <c r="J134" s="142"/>
      <c r="K134" s="22">
        <v>0</v>
      </c>
      <c r="L134" s="22">
        <v>1000</v>
      </c>
      <c r="M134" s="218">
        <v>0</v>
      </c>
      <c r="N134" s="142"/>
      <c r="O134" s="142"/>
      <c r="P134" s="22">
        <v>0</v>
      </c>
      <c r="Q134" s="218">
        <v>0</v>
      </c>
      <c r="R134" s="142"/>
      <c r="S134" s="218">
        <v>1000</v>
      </c>
      <c r="T134" s="142"/>
      <c r="U134" s="142"/>
      <c r="V134" s="142"/>
      <c r="W134" s="142"/>
      <c r="X134" s="219">
        <v>0</v>
      </c>
      <c r="Y134" s="142"/>
    </row>
    <row r="135" spans="2:25" x14ac:dyDescent="0.2">
      <c r="B135" s="19" t="s">
        <v>108</v>
      </c>
      <c r="C135" s="19"/>
      <c r="D135" s="215" t="s">
        <v>168</v>
      </c>
      <c r="E135" s="142"/>
      <c r="F135" s="142"/>
      <c r="G135" s="142"/>
      <c r="H135" s="216">
        <v>18000</v>
      </c>
      <c r="I135" s="142"/>
      <c r="J135" s="142"/>
      <c r="K135" s="20">
        <v>8562.5</v>
      </c>
      <c r="L135" s="20">
        <v>9437.5</v>
      </c>
      <c r="M135" s="216">
        <v>0</v>
      </c>
      <c r="N135" s="142"/>
      <c r="O135" s="142"/>
      <c r="P135" s="20">
        <v>8562.5</v>
      </c>
      <c r="Q135" s="216">
        <v>0</v>
      </c>
      <c r="R135" s="142"/>
      <c r="S135" s="216">
        <v>9437.5</v>
      </c>
      <c r="T135" s="142"/>
      <c r="U135" s="142"/>
      <c r="V135" s="142"/>
      <c r="W135" s="142"/>
      <c r="X135" s="217">
        <v>0.47599999999999998</v>
      </c>
      <c r="Y135" s="142"/>
    </row>
    <row r="136" spans="2:25" x14ac:dyDescent="0.2">
      <c r="B136" s="21" t="s">
        <v>110</v>
      </c>
      <c r="C136" s="21" t="s">
        <v>249</v>
      </c>
      <c r="D136" s="220" t="s">
        <v>310</v>
      </c>
      <c r="E136" s="142"/>
      <c r="F136" s="142"/>
      <c r="G136" s="142"/>
      <c r="H136" s="218">
        <v>18000</v>
      </c>
      <c r="I136" s="142"/>
      <c r="J136" s="142"/>
      <c r="K136" s="22">
        <v>8562.5</v>
      </c>
      <c r="L136" s="22">
        <v>9437.5</v>
      </c>
      <c r="M136" s="218">
        <v>0</v>
      </c>
      <c r="N136" s="142"/>
      <c r="O136" s="142"/>
      <c r="P136" s="22">
        <v>8562.5</v>
      </c>
      <c r="Q136" s="218">
        <v>0</v>
      </c>
      <c r="R136" s="142"/>
      <c r="S136" s="218">
        <v>9437.5</v>
      </c>
      <c r="T136" s="142"/>
      <c r="U136" s="142"/>
      <c r="V136" s="142"/>
      <c r="W136" s="142"/>
      <c r="X136" s="219">
        <v>0.47599999999999998</v>
      </c>
      <c r="Y136" s="142"/>
    </row>
    <row r="137" spans="2:25" x14ac:dyDescent="0.2">
      <c r="B137" s="19" t="s">
        <v>250</v>
      </c>
      <c r="C137" s="19"/>
      <c r="D137" s="215" t="s">
        <v>251</v>
      </c>
      <c r="E137" s="142"/>
      <c r="F137" s="142"/>
      <c r="G137" s="142"/>
      <c r="H137" s="216">
        <v>9664.1200000000008</v>
      </c>
      <c r="I137" s="142"/>
      <c r="J137" s="142"/>
      <c r="K137" s="20">
        <v>4629.0200000000004</v>
      </c>
      <c r="L137" s="20">
        <v>5035.1000000000004</v>
      </c>
      <c r="M137" s="216">
        <v>0</v>
      </c>
      <c r="N137" s="142"/>
      <c r="O137" s="142"/>
      <c r="P137" s="20">
        <v>4629.0200000000004</v>
      </c>
      <c r="Q137" s="216">
        <v>0</v>
      </c>
      <c r="R137" s="142"/>
      <c r="S137" s="216">
        <v>5035.1000000000004</v>
      </c>
      <c r="T137" s="142"/>
      <c r="U137" s="142"/>
      <c r="V137" s="142"/>
      <c r="W137" s="142"/>
      <c r="X137" s="217">
        <v>0.47899999999999998</v>
      </c>
      <c r="Y137" s="142"/>
    </row>
    <row r="138" spans="2:25" x14ac:dyDescent="0.2">
      <c r="B138" s="19" t="s">
        <v>252</v>
      </c>
      <c r="C138" s="19"/>
      <c r="D138" s="215" t="s">
        <v>253</v>
      </c>
      <c r="E138" s="142"/>
      <c r="F138" s="142"/>
      <c r="G138" s="142"/>
      <c r="H138" s="216">
        <v>9664.1200000000008</v>
      </c>
      <c r="I138" s="142"/>
      <c r="J138" s="142"/>
      <c r="K138" s="20">
        <v>4629.0200000000004</v>
      </c>
      <c r="L138" s="20">
        <v>5035.1000000000004</v>
      </c>
      <c r="M138" s="216">
        <v>0</v>
      </c>
      <c r="N138" s="142"/>
      <c r="O138" s="142"/>
      <c r="P138" s="20">
        <v>4629.0200000000004</v>
      </c>
      <c r="Q138" s="216">
        <v>0</v>
      </c>
      <c r="R138" s="142"/>
      <c r="S138" s="216">
        <v>5035.1000000000004</v>
      </c>
      <c r="T138" s="142"/>
      <c r="U138" s="142"/>
      <c r="V138" s="142"/>
      <c r="W138" s="142"/>
      <c r="X138" s="217">
        <v>0.47899999999999998</v>
      </c>
      <c r="Y138" s="142"/>
    </row>
    <row r="139" spans="2:25" x14ac:dyDescent="0.2">
      <c r="B139" s="21" t="s">
        <v>254</v>
      </c>
      <c r="C139" s="21" t="s">
        <v>311</v>
      </c>
      <c r="D139" s="220" t="s">
        <v>299</v>
      </c>
      <c r="E139" s="142"/>
      <c r="F139" s="142"/>
      <c r="G139" s="142"/>
      <c r="H139" s="218">
        <v>9664.1200000000008</v>
      </c>
      <c r="I139" s="142"/>
      <c r="J139" s="142"/>
      <c r="K139" s="22">
        <v>4629.0200000000004</v>
      </c>
      <c r="L139" s="22">
        <v>5035.1000000000004</v>
      </c>
      <c r="M139" s="218">
        <v>0</v>
      </c>
      <c r="N139" s="142"/>
      <c r="O139" s="142"/>
      <c r="P139" s="22">
        <v>4629.0200000000004</v>
      </c>
      <c r="Q139" s="218">
        <v>0</v>
      </c>
      <c r="R139" s="142"/>
      <c r="S139" s="218">
        <v>5035.1000000000004</v>
      </c>
      <c r="T139" s="142"/>
      <c r="U139" s="142"/>
      <c r="V139" s="142"/>
      <c r="W139" s="142"/>
      <c r="X139" s="219">
        <v>0.47899999999999998</v>
      </c>
      <c r="Y139" s="142"/>
    </row>
    <row r="140" spans="2:25" x14ac:dyDescent="0.2">
      <c r="B140" s="19" t="s">
        <v>3</v>
      </c>
      <c r="C140" s="19"/>
      <c r="D140" s="215" t="s">
        <v>220</v>
      </c>
      <c r="E140" s="142"/>
      <c r="F140" s="142"/>
      <c r="G140" s="142"/>
      <c r="H140" s="216">
        <v>147047.21</v>
      </c>
      <c r="I140" s="142"/>
      <c r="J140" s="142"/>
      <c r="K140" s="20">
        <v>55326.12</v>
      </c>
      <c r="L140" s="20">
        <v>91721.09</v>
      </c>
      <c r="M140" s="216">
        <v>0</v>
      </c>
      <c r="N140" s="142"/>
      <c r="O140" s="142"/>
      <c r="P140" s="20">
        <v>55326.12</v>
      </c>
      <c r="Q140" s="216">
        <v>0</v>
      </c>
      <c r="R140" s="142"/>
      <c r="S140" s="216">
        <v>91721.09</v>
      </c>
      <c r="T140" s="142"/>
      <c r="U140" s="142"/>
      <c r="V140" s="142"/>
      <c r="W140" s="142"/>
      <c r="X140" s="217">
        <v>0.376</v>
      </c>
      <c r="Y140" s="142"/>
    </row>
    <row r="141" spans="2:25" x14ac:dyDescent="0.2">
      <c r="B141" s="19" t="s">
        <v>221</v>
      </c>
      <c r="C141" s="19"/>
      <c r="D141" s="215" t="s">
        <v>222</v>
      </c>
      <c r="E141" s="142"/>
      <c r="F141" s="142"/>
      <c r="G141" s="142"/>
      <c r="H141" s="216">
        <v>147047.21</v>
      </c>
      <c r="I141" s="142"/>
      <c r="J141" s="142"/>
      <c r="K141" s="20">
        <v>55326.12</v>
      </c>
      <c r="L141" s="20">
        <v>91721.09</v>
      </c>
      <c r="M141" s="216">
        <v>0</v>
      </c>
      <c r="N141" s="142"/>
      <c r="O141" s="142"/>
      <c r="P141" s="20">
        <v>55326.12</v>
      </c>
      <c r="Q141" s="216">
        <v>0</v>
      </c>
      <c r="R141" s="142"/>
      <c r="S141" s="216">
        <v>91721.09</v>
      </c>
      <c r="T141" s="142"/>
      <c r="U141" s="142"/>
      <c r="V141" s="142"/>
      <c r="W141" s="142"/>
      <c r="X141" s="217">
        <v>0.376</v>
      </c>
      <c r="Y141" s="142"/>
    </row>
    <row r="142" spans="2:25" x14ac:dyDescent="0.2">
      <c r="B142" s="19" t="s">
        <v>83</v>
      </c>
      <c r="C142" s="19"/>
      <c r="D142" s="215" t="s">
        <v>223</v>
      </c>
      <c r="E142" s="142"/>
      <c r="F142" s="142"/>
      <c r="G142" s="142"/>
      <c r="H142" s="216">
        <v>23659.88</v>
      </c>
      <c r="I142" s="142"/>
      <c r="J142" s="142"/>
      <c r="K142" s="20">
        <v>23659.88</v>
      </c>
      <c r="L142" s="20">
        <v>0</v>
      </c>
      <c r="M142" s="216">
        <v>0</v>
      </c>
      <c r="N142" s="142"/>
      <c r="O142" s="142"/>
      <c r="P142" s="20">
        <v>23659.88</v>
      </c>
      <c r="Q142" s="216">
        <v>0</v>
      </c>
      <c r="R142" s="142"/>
      <c r="S142" s="216">
        <v>0</v>
      </c>
      <c r="T142" s="142"/>
      <c r="U142" s="142"/>
      <c r="V142" s="142"/>
      <c r="W142" s="142"/>
      <c r="X142" s="217">
        <v>1</v>
      </c>
      <c r="Y142" s="142"/>
    </row>
    <row r="143" spans="2:25" x14ac:dyDescent="0.2">
      <c r="B143" s="21" t="s">
        <v>312</v>
      </c>
      <c r="C143" s="21" t="s">
        <v>262</v>
      </c>
      <c r="D143" s="220" t="s">
        <v>313</v>
      </c>
      <c r="E143" s="142"/>
      <c r="F143" s="142"/>
      <c r="G143" s="142"/>
      <c r="H143" s="218">
        <v>3459.88</v>
      </c>
      <c r="I143" s="142"/>
      <c r="J143" s="142"/>
      <c r="K143" s="22">
        <v>3459.88</v>
      </c>
      <c r="L143" s="22">
        <v>0</v>
      </c>
      <c r="M143" s="218">
        <v>0</v>
      </c>
      <c r="N143" s="142"/>
      <c r="O143" s="142"/>
      <c r="P143" s="22">
        <v>3459.88</v>
      </c>
      <c r="Q143" s="218">
        <v>0</v>
      </c>
      <c r="R143" s="142"/>
      <c r="S143" s="218">
        <v>0</v>
      </c>
      <c r="T143" s="142"/>
      <c r="U143" s="142"/>
      <c r="V143" s="142"/>
      <c r="W143" s="142"/>
      <c r="X143" s="219">
        <v>1</v>
      </c>
      <c r="Y143" s="142"/>
    </row>
    <row r="144" spans="2:25" x14ac:dyDescent="0.2">
      <c r="B144" s="21" t="s">
        <v>112</v>
      </c>
      <c r="C144" s="21" t="s">
        <v>314</v>
      </c>
      <c r="D144" s="220" t="s">
        <v>315</v>
      </c>
      <c r="E144" s="142"/>
      <c r="F144" s="142"/>
      <c r="G144" s="142"/>
      <c r="H144" s="218">
        <v>20200</v>
      </c>
      <c r="I144" s="142"/>
      <c r="J144" s="142"/>
      <c r="K144" s="22">
        <v>20200</v>
      </c>
      <c r="L144" s="22">
        <v>0</v>
      </c>
      <c r="M144" s="218">
        <v>0</v>
      </c>
      <c r="N144" s="142"/>
      <c r="O144" s="142"/>
      <c r="P144" s="22">
        <v>20200</v>
      </c>
      <c r="Q144" s="218">
        <v>0</v>
      </c>
      <c r="R144" s="142"/>
      <c r="S144" s="218">
        <v>0</v>
      </c>
      <c r="T144" s="142"/>
      <c r="U144" s="142"/>
      <c r="V144" s="142"/>
      <c r="W144" s="142"/>
      <c r="X144" s="219">
        <v>1</v>
      </c>
      <c r="Y144" s="142"/>
    </row>
    <row r="145" spans="2:25" x14ac:dyDescent="0.2">
      <c r="B145" s="19" t="s">
        <v>226</v>
      </c>
      <c r="C145" s="19"/>
      <c r="D145" s="215" t="s">
        <v>227</v>
      </c>
      <c r="E145" s="142"/>
      <c r="F145" s="142"/>
      <c r="G145" s="142"/>
      <c r="H145" s="216">
        <v>123387.33</v>
      </c>
      <c r="I145" s="142"/>
      <c r="J145" s="142"/>
      <c r="K145" s="20">
        <v>31666.240000000002</v>
      </c>
      <c r="L145" s="20">
        <v>91721.09</v>
      </c>
      <c r="M145" s="216">
        <v>0</v>
      </c>
      <c r="N145" s="142"/>
      <c r="O145" s="142"/>
      <c r="P145" s="20">
        <v>31666.240000000002</v>
      </c>
      <c r="Q145" s="216">
        <v>0</v>
      </c>
      <c r="R145" s="142"/>
      <c r="S145" s="216">
        <v>91721.09</v>
      </c>
      <c r="T145" s="142"/>
      <c r="U145" s="142"/>
      <c r="V145" s="142"/>
      <c r="W145" s="142"/>
      <c r="X145" s="217">
        <v>0.25700000000000001</v>
      </c>
      <c r="Y145" s="142"/>
    </row>
    <row r="146" spans="2:25" x14ac:dyDescent="0.2">
      <c r="B146" s="21" t="s">
        <v>228</v>
      </c>
      <c r="C146" s="21" t="s">
        <v>255</v>
      </c>
      <c r="D146" s="220" t="s">
        <v>316</v>
      </c>
      <c r="E146" s="142"/>
      <c r="F146" s="142"/>
      <c r="G146" s="142"/>
      <c r="H146" s="218">
        <v>123387.33</v>
      </c>
      <c r="I146" s="142"/>
      <c r="J146" s="142"/>
      <c r="K146" s="22">
        <v>31666.240000000002</v>
      </c>
      <c r="L146" s="22">
        <v>91721.09</v>
      </c>
      <c r="M146" s="218">
        <v>0</v>
      </c>
      <c r="N146" s="142"/>
      <c r="O146" s="142"/>
      <c r="P146" s="22">
        <v>31666.240000000002</v>
      </c>
      <c r="Q146" s="218">
        <v>0</v>
      </c>
      <c r="R146" s="142"/>
      <c r="S146" s="218">
        <v>91721.09</v>
      </c>
      <c r="T146" s="142"/>
      <c r="U146" s="142"/>
      <c r="V146" s="142"/>
      <c r="W146" s="142"/>
      <c r="X146" s="219">
        <v>0.25700000000000001</v>
      </c>
      <c r="Y146" s="142"/>
    </row>
    <row r="147" spans="2:25" x14ac:dyDescent="0.2">
      <c r="B147" s="226" t="s">
        <v>179</v>
      </c>
      <c r="C147" s="142"/>
      <c r="D147" s="142"/>
      <c r="E147" s="142"/>
      <c r="F147" s="142"/>
      <c r="G147" s="142"/>
      <c r="H147" s="224">
        <v>55000</v>
      </c>
      <c r="I147" s="142"/>
      <c r="J147" s="142"/>
      <c r="K147" s="18">
        <v>20111.82</v>
      </c>
      <c r="L147" s="18">
        <v>34888.18</v>
      </c>
      <c r="M147" s="224">
        <v>0</v>
      </c>
      <c r="N147" s="142"/>
      <c r="O147" s="142"/>
      <c r="P147" s="18">
        <v>20111.82</v>
      </c>
      <c r="Q147" s="224">
        <v>0</v>
      </c>
      <c r="R147" s="142"/>
      <c r="S147" s="224">
        <v>34888.18</v>
      </c>
      <c r="T147" s="142"/>
      <c r="U147" s="142"/>
      <c r="V147" s="142"/>
      <c r="W147" s="142"/>
      <c r="X147" s="225">
        <v>0.36599999999999999</v>
      </c>
      <c r="Y147" s="142"/>
    </row>
    <row r="148" spans="2:25" x14ac:dyDescent="0.2">
      <c r="B148" s="19" t="s">
        <v>2</v>
      </c>
      <c r="C148" s="19"/>
      <c r="D148" s="215" t="s">
        <v>161</v>
      </c>
      <c r="E148" s="142"/>
      <c r="F148" s="142"/>
      <c r="G148" s="142"/>
      <c r="H148" s="216">
        <v>35000</v>
      </c>
      <c r="I148" s="142"/>
      <c r="J148" s="142"/>
      <c r="K148" s="20">
        <v>15111.82</v>
      </c>
      <c r="L148" s="20">
        <v>19888.18</v>
      </c>
      <c r="M148" s="216">
        <v>0</v>
      </c>
      <c r="N148" s="142"/>
      <c r="O148" s="142"/>
      <c r="P148" s="20">
        <v>15111.82</v>
      </c>
      <c r="Q148" s="216">
        <v>0</v>
      </c>
      <c r="R148" s="142"/>
      <c r="S148" s="216">
        <v>19888.18</v>
      </c>
      <c r="T148" s="142"/>
      <c r="U148" s="142"/>
      <c r="V148" s="142"/>
      <c r="W148" s="142"/>
      <c r="X148" s="217">
        <v>0.432</v>
      </c>
      <c r="Y148" s="142"/>
    </row>
    <row r="149" spans="2:25" x14ac:dyDescent="0.2">
      <c r="B149" s="19" t="s">
        <v>162</v>
      </c>
      <c r="C149" s="19"/>
      <c r="D149" s="215" t="s">
        <v>163</v>
      </c>
      <c r="E149" s="142"/>
      <c r="F149" s="142"/>
      <c r="G149" s="142"/>
      <c r="H149" s="216">
        <v>35000</v>
      </c>
      <c r="I149" s="142"/>
      <c r="J149" s="142"/>
      <c r="K149" s="20">
        <v>15111.82</v>
      </c>
      <c r="L149" s="20">
        <v>19888.18</v>
      </c>
      <c r="M149" s="216">
        <v>0</v>
      </c>
      <c r="N149" s="142"/>
      <c r="O149" s="142"/>
      <c r="P149" s="20">
        <v>15111.82</v>
      </c>
      <c r="Q149" s="216">
        <v>0</v>
      </c>
      <c r="R149" s="142"/>
      <c r="S149" s="216">
        <v>19888.18</v>
      </c>
      <c r="T149" s="142"/>
      <c r="U149" s="142"/>
      <c r="V149" s="142"/>
      <c r="W149" s="142"/>
      <c r="X149" s="217">
        <v>0.432</v>
      </c>
      <c r="Y149" s="142"/>
    </row>
    <row r="150" spans="2:25" x14ac:dyDescent="0.2">
      <c r="B150" s="19" t="s">
        <v>77</v>
      </c>
      <c r="C150" s="19"/>
      <c r="D150" s="215" t="s">
        <v>164</v>
      </c>
      <c r="E150" s="142"/>
      <c r="F150" s="142"/>
      <c r="G150" s="142"/>
      <c r="H150" s="216">
        <v>5000</v>
      </c>
      <c r="I150" s="142"/>
      <c r="J150" s="142"/>
      <c r="K150" s="20">
        <v>4800</v>
      </c>
      <c r="L150" s="20">
        <v>200</v>
      </c>
      <c r="M150" s="216">
        <v>0</v>
      </c>
      <c r="N150" s="142"/>
      <c r="O150" s="142"/>
      <c r="P150" s="20">
        <v>4800</v>
      </c>
      <c r="Q150" s="216">
        <v>0</v>
      </c>
      <c r="R150" s="142"/>
      <c r="S150" s="216">
        <v>200</v>
      </c>
      <c r="T150" s="142"/>
      <c r="U150" s="142"/>
      <c r="V150" s="142"/>
      <c r="W150" s="142"/>
      <c r="X150" s="217">
        <v>0.96</v>
      </c>
      <c r="Y150" s="142"/>
    </row>
    <row r="151" spans="2:25" x14ac:dyDescent="0.2">
      <c r="B151" s="21" t="s">
        <v>165</v>
      </c>
      <c r="C151" s="21" t="s">
        <v>257</v>
      </c>
      <c r="D151" s="220" t="s">
        <v>317</v>
      </c>
      <c r="E151" s="142"/>
      <c r="F151" s="142"/>
      <c r="G151" s="142"/>
      <c r="H151" s="218">
        <v>200</v>
      </c>
      <c r="I151" s="142"/>
      <c r="J151" s="142"/>
      <c r="K151" s="22">
        <v>0</v>
      </c>
      <c r="L151" s="22">
        <v>200</v>
      </c>
      <c r="M151" s="218">
        <v>0</v>
      </c>
      <c r="N151" s="142"/>
      <c r="O151" s="142"/>
      <c r="P151" s="22">
        <v>0</v>
      </c>
      <c r="Q151" s="218">
        <v>0</v>
      </c>
      <c r="R151" s="142"/>
      <c r="S151" s="218">
        <v>200</v>
      </c>
      <c r="T151" s="142"/>
      <c r="U151" s="142"/>
      <c r="V151" s="142"/>
      <c r="W151" s="142"/>
      <c r="X151" s="219">
        <v>0</v>
      </c>
      <c r="Y151" s="142"/>
    </row>
    <row r="152" spans="2:25" x14ac:dyDescent="0.2">
      <c r="B152" s="21" t="s">
        <v>165</v>
      </c>
      <c r="C152" s="21" t="s">
        <v>318</v>
      </c>
      <c r="D152" s="220" t="s">
        <v>319</v>
      </c>
      <c r="E152" s="142"/>
      <c r="F152" s="142"/>
      <c r="G152" s="142"/>
      <c r="H152" s="218">
        <v>4800</v>
      </c>
      <c r="I152" s="142"/>
      <c r="J152" s="142"/>
      <c r="K152" s="22">
        <v>4800</v>
      </c>
      <c r="L152" s="22">
        <v>0</v>
      </c>
      <c r="M152" s="218">
        <v>0</v>
      </c>
      <c r="N152" s="142"/>
      <c r="O152" s="142"/>
      <c r="P152" s="22">
        <v>4800</v>
      </c>
      <c r="Q152" s="218">
        <v>0</v>
      </c>
      <c r="R152" s="142"/>
      <c r="S152" s="218">
        <v>0</v>
      </c>
      <c r="T152" s="142"/>
      <c r="U152" s="142"/>
      <c r="V152" s="142"/>
      <c r="W152" s="142"/>
      <c r="X152" s="219">
        <v>1</v>
      </c>
      <c r="Y152" s="142"/>
    </row>
    <row r="153" spans="2:25" x14ac:dyDescent="0.2">
      <c r="B153" s="19" t="s">
        <v>88</v>
      </c>
      <c r="C153" s="19"/>
      <c r="D153" s="215" t="s">
        <v>171</v>
      </c>
      <c r="E153" s="142"/>
      <c r="F153" s="142"/>
      <c r="G153" s="142"/>
      <c r="H153" s="216">
        <v>2000</v>
      </c>
      <c r="I153" s="142"/>
      <c r="J153" s="142"/>
      <c r="K153" s="20">
        <v>0</v>
      </c>
      <c r="L153" s="20">
        <v>2000</v>
      </c>
      <c r="M153" s="216">
        <v>0</v>
      </c>
      <c r="N153" s="142"/>
      <c r="O153" s="142"/>
      <c r="P153" s="20">
        <v>0</v>
      </c>
      <c r="Q153" s="216">
        <v>0</v>
      </c>
      <c r="R153" s="142"/>
      <c r="S153" s="216">
        <v>2000</v>
      </c>
      <c r="T153" s="142"/>
      <c r="U153" s="142"/>
      <c r="V153" s="142"/>
      <c r="W153" s="142"/>
      <c r="X153" s="217">
        <v>0</v>
      </c>
      <c r="Y153" s="142"/>
    </row>
    <row r="154" spans="2:25" x14ac:dyDescent="0.2">
      <c r="B154" s="21" t="s">
        <v>89</v>
      </c>
      <c r="C154" s="21" t="s">
        <v>258</v>
      </c>
      <c r="D154" s="220" t="s">
        <v>90</v>
      </c>
      <c r="E154" s="142"/>
      <c r="F154" s="142"/>
      <c r="G154" s="142"/>
      <c r="H154" s="218">
        <v>2000</v>
      </c>
      <c r="I154" s="142"/>
      <c r="J154" s="142"/>
      <c r="K154" s="22">
        <v>0</v>
      </c>
      <c r="L154" s="22">
        <v>2000</v>
      </c>
      <c r="M154" s="218">
        <v>0</v>
      </c>
      <c r="N154" s="142"/>
      <c r="O154" s="142"/>
      <c r="P154" s="22">
        <v>0</v>
      </c>
      <c r="Q154" s="218">
        <v>0</v>
      </c>
      <c r="R154" s="142"/>
      <c r="S154" s="218">
        <v>2000</v>
      </c>
      <c r="T154" s="142"/>
      <c r="U154" s="142"/>
      <c r="V154" s="142"/>
      <c r="W154" s="142"/>
      <c r="X154" s="219">
        <v>0</v>
      </c>
      <c r="Y154" s="142"/>
    </row>
    <row r="155" spans="2:25" x14ac:dyDescent="0.2">
      <c r="B155" s="19" t="s">
        <v>80</v>
      </c>
      <c r="C155" s="19"/>
      <c r="D155" s="215" t="s">
        <v>191</v>
      </c>
      <c r="E155" s="142"/>
      <c r="F155" s="142"/>
      <c r="G155" s="142"/>
      <c r="H155" s="216">
        <v>15000</v>
      </c>
      <c r="I155" s="142"/>
      <c r="J155" s="142"/>
      <c r="K155" s="20">
        <v>5700</v>
      </c>
      <c r="L155" s="20">
        <v>9300</v>
      </c>
      <c r="M155" s="216">
        <v>0</v>
      </c>
      <c r="N155" s="142"/>
      <c r="O155" s="142"/>
      <c r="P155" s="20">
        <v>5700</v>
      </c>
      <c r="Q155" s="216">
        <v>0</v>
      </c>
      <c r="R155" s="142"/>
      <c r="S155" s="216">
        <v>9300</v>
      </c>
      <c r="T155" s="142"/>
      <c r="U155" s="142"/>
      <c r="V155" s="142"/>
      <c r="W155" s="142"/>
      <c r="X155" s="217">
        <v>0.38</v>
      </c>
      <c r="Y155" s="142"/>
    </row>
    <row r="156" spans="2:25" x14ac:dyDescent="0.2">
      <c r="B156" s="21" t="s">
        <v>99</v>
      </c>
      <c r="C156" s="21" t="s">
        <v>259</v>
      </c>
      <c r="D156" s="220" t="s">
        <v>100</v>
      </c>
      <c r="E156" s="142"/>
      <c r="F156" s="142"/>
      <c r="G156" s="142"/>
      <c r="H156" s="218">
        <v>15000</v>
      </c>
      <c r="I156" s="142"/>
      <c r="J156" s="142"/>
      <c r="K156" s="22">
        <v>5700</v>
      </c>
      <c r="L156" s="22">
        <v>9300</v>
      </c>
      <c r="M156" s="218">
        <v>0</v>
      </c>
      <c r="N156" s="142"/>
      <c r="O156" s="142"/>
      <c r="P156" s="22">
        <v>5700</v>
      </c>
      <c r="Q156" s="218">
        <v>0</v>
      </c>
      <c r="R156" s="142"/>
      <c r="S156" s="218">
        <v>9300</v>
      </c>
      <c r="T156" s="142"/>
      <c r="U156" s="142"/>
      <c r="V156" s="142"/>
      <c r="W156" s="142"/>
      <c r="X156" s="219">
        <v>0.38</v>
      </c>
      <c r="Y156" s="142"/>
    </row>
    <row r="157" spans="2:25" x14ac:dyDescent="0.2">
      <c r="B157" s="19" t="s">
        <v>108</v>
      </c>
      <c r="C157" s="19"/>
      <c r="D157" s="215" t="s">
        <v>168</v>
      </c>
      <c r="E157" s="142"/>
      <c r="F157" s="142"/>
      <c r="G157" s="142"/>
      <c r="H157" s="216">
        <v>13000</v>
      </c>
      <c r="I157" s="142"/>
      <c r="J157" s="142"/>
      <c r="K157" s="20">
        <v>4611.82</v>
      </c>
      <c r="L157" s="20">
        <v>8388.18</v>
      </c>
      <c r="M157" s="216">
        <v>0</v>
      </c>
      <c r="N157" s="142"/>
      <c r="O157" s="142"/>
      <c r="P157" s="20">
        <v>4611.82</v>
      </c>
      <c r="Q157" s="216">
        <v>0</v>
      </c>
      <c r="R157" s="142"/>
      <c r="S157" s="216">
        <v>8388.18</v>
      </c>
      <c r="T157" s="142"/>
      <c r="U157" s="142"/>
      <c r="V157" s="142"/>
      <c r="W157" s="142"/>
      <c r="X157" s="217">
        <v>0.35499999999999998</v>
      </c>
      <c r="Y157" s="142"/>
    </row>
    <row r="158" spans="2:25" x14ac:dyDescent="0.2">
      <c r="B158" s="21" t="s">
        <v>111</v>
      </c>
      <c r="C158" s="21" t="s">
        <v>260</v>
      </c>
      <c r="D158" s="220" t="s">
        <v>320</v>
      </c>
      <c r="E158" s="142"/>
      <c r="F158" s="142"/>
      <c r="G158" s="142"/>
      <c r="H158" s="218">
        <v>3000</v>
      </c>
      <c r="I158" s="142"/>
      <c r="J158" s="142"/>
      <c r="K158" s="22">
        <v>0</v>
      </c>
      <c r="L158" s="22">
        <v>3000</v>
      </c>
      <c r="M158" s="218">
        <v>0</v>
      </c>
      <c r="N158" s="142"/>
      <c r="O158" s="142"/>
      <c r="P158" s="22">
        <v>0</v>
      </c>
      <c r="Q158" s="218">
        <v>0</v>
      </c>
      <c r="R158" s="142"/>
      <c r="S158" s="218">
        <v>3000</v>
      </c>
      <c r="T158" s="142"/>
      <c r="U158" s="142"/>
      <c r="V158" s="142"/>
      <c r="W158" s="142"/>
      <c r="X158" s="219">
        <v>0</v>
      </c>
      <c r="Y158" s="142"/>
    </row>
    <row r="159" spans="2:25" x14ac:dyDescent="0.2">
      <c r="B159" s="21" t="s">
        <v>111</v>
      </c>
      <c r="C159" s="21" t="s">
        <v>261</v>
      </c>
      <c r="D159" s="220" t="s">
        <v>109</v>
      </c>
      <c r="E159" s="142"/>
      <c r="F159" s="142"/>
      <c r="G159" s="142"/>
      <c r="H159" s="218">
        <v>10000</v>
      </c>
      <c r="I159" s="142"/>
      <c r="J159" s="142"/>
      <c r="K159" s="22">
        <v>4611.82</v>
      </c>
      <c r="L159" s="22">
        <v>5388.18</v>
      </c>
      <c r="M159" s="218">
        <v>0</v>
      </c>
      <c r="N159" s="142"/>
      <c r="O159" s="142"/>
      <c r="P159" s="22">
        <v>4611.82</v>
      </c>
      <c r="Q159" s="218">
        <v>0</v>
      </c>
      <c r="R159" s="142"/>
      <c r="S159" s="218">
        <v>5388.18</v>
      </c>
      <c r="T159" s="142"/>
      <c r="U159" s="142"/>
      <c r="V159" s="142"/>
      <c r="W159" s="142"/>
      <c r="X159" s="219">
        <v>0.46100000000000002</v>
      </c>
      <c r="Y159" s="142"/>
    </row>
    <row r="160" spans="2:25" x14ac:dyDescent="0.2">
      <c r="B160" s="19" t="s">
        <v>3</v>
      </c>
      <c r="C160" s="19"/>
      <c r="D160" s="215" t="s">
        <v>220</v>
      </c>
      <c r="E160" s="142"/>
      <c r="F160" s="142"/>
      <c r="G160" s="142"/>
      <c r="H160" s="216">
        <v>20000</v>
      </c>
      <c r="I160" s="142"/>
      <c r="J160" s="142"/>
      <c r="K160" s="20">
        <v>5000</v>
      </c>
      <c r="L160" s="20">
        <v>15000</v>
      </c>
      <c r="M160" s="216">
        <v>0</v>
      </c>
      <c r="N160" s="142"/>
      <c r="O160" s="142"/>
      <c r="P160" s="20">
        <v>5000</v>
      </c>
      <c r="Q160" s="216">
        <v>0</v>
      </c>
      <c r="R160" s="142"/>
      <c r="S160" s="216">
        <v>15000</v>
      </c>
      <c r="T160" s="142"/>
      <c r="U160" s="142"/>
      <c r="V160" s="142"/>
      <c r="W160" s="142"/>
      <c r="X160" s="217">
        <v>0.25</v>
      </c>
      <c r="Y160" s="142"/>
    </row>
    <row r="161" spans="2:25" x14ac:dyDescent="0.2">
      <c r="B161" s="19" t="s">
        <v>221</v>
      </c>
      <c r="C161" s="19"/>
      <c r="D161" s="215" t="s">
        <v>222</v>
      </c>
      <c r="E161" s="142"/>
      <c r="F161" s="142"/>
      <c r="G161" s="142"/>
      <c r="H161" s="216">
        <v>20000</v>
      </c>
      <c r="I161" s="142"/>
      <c r="J161" s="142"/>
      <c r="K161" s="20">
        <v>5000</v>
      </c>
      <c r="L161" s="20">
        <v>15000</v>
      </c>
      <c r="M161" s="216">
        <v>0</v>
      </c>
      <c r="N161" s="142"/>
      <c r="O161" s="142"/>
      <c r="P161" s="20">
        <v>5000</v>
      </c>
      <c r="Q161" s="216">
        <v>0</v>
      </c>
      <c r="R161" s="142"/>
      <c r="S161" s="216">
        <v>15000</v>
      </c>
      <c r="T161" s="142"/>
      <c r="U161" s="142"/>
      <c r="V161" s="142"/>
      <c r="W161" s="142"/>
      <c r="X161" s="217">
        <v>0.25</v>
      </c>
      <c r="Y161" s="142"/>
    </row>
    <row r="162" spans="2:25" x14ac:dyDescent="0.2">
      <c r="B162" s="19" t="s">
        <v>83</v>
      </c>
      <c r="C162" s="19"/>
      <c r="D162" s="215" t="s">
        <v>223</v>
      </c>
      <c r="E162" s="142"/>
      <c r="F162" s="142"/>
      <c r="G162" s="142"/>
      <c r="H162" s="216">
        <v>20000</v>
      </c>
      <c r="I162" s="142"/>
      <c r="J162" s="142"/>
      <c r="K162" s="20">
        <v>5000</v>
      </c>
      <c r="L162" s="20">
        <v>15000</v>
      </c>
      <c r="M162" s="216">
        <v>0</v>
      </c>
      <c r="N162" s="142"/>
      <c r="O162" s="142"/>
      <c r="P162" s="20">
        <v>5000</v>
      </c>
      <c r="Q162" s="216">
        <v>0</v>
      </c>
      <c r="R162" s="142"/>
      <c r="S162" s="216">
        <v>15000</v>
      </c>
      <c r="T162" s="142"/>
      <c r="U162" s="142"/>
      <c r="V162" s="142"/>
      <c r="W162" s="142"/>
      <c r="X162" s="217">
        <v>0.25</v>
      </c>
      <c r="Y162" s="142"/>
    </row>
    <row r="163" spans="2:25" x14ac:dyDescent="0.2">
      <c r="B163" s="21" t="s">
        <v>84</v>
      </c>
      <c r="C163" s="21" t="s">
        <v>263</v>
      </c>
      <c r="D163" s="220" t="s">
        <v>85</v>
      </c>
      <c r="E163" s="142"/>
      <c r="F163" s="142"/>
      <c r="G163" s="142"/>
      <c r="H163" s="218">
        <v>20000</v>
      </c>
      <c r="I163" s="142"/>
      <c r="J163" s="142"/>
      <c r="K163" s="22">
        <v>5000</v>
      </c>
      <c r="L163" s="22">
        <v>15000</v>
      </c>
      <c r="M163" s="218">
        <v>0</v>
      </c>
      <c r="N163" s="142"/>
      <c r="O163" s="142"/>
      <c r="P163" s="22">
        <v>5000</v>
      </c>
      <c r="Q163" s="218">
        <v>0</v>
      </c>
      <c r="R163" s="142"/>
      <c r="S163" s="218">
        <v>15000</v>
      </c>
      <c r="T163" s="142"/>
      <c r="U163" s="142"/>
      <c r="V163" s="142"/>
      <c r="W163" s="142"/>
      <c r="X163" s="219">
        <v>0.25</v>
      </c>
      <c r="Y163" s="142"/>
    </row>
    <row r="164" spans="2:25" x14ac:dyDescent="0.2">
      <c r="B164" s="19" t="s">
        <v>321</v>
      </c>
      <c r="C164" s="19"/>
      <c r="D164" s="215" t="s">
        <v>322</v>
      </c>
      <c r="E164" s="142"/>
      <c r="F164" s="142"/>
      <c r="G164" s="142"/>
      <c r="H164" s="216">
        <v>0</v>
      </c>
      <c r="I164" s="142"/>
      <c r="J164" s="142"/>
      <c r="K164" s="20">
        <v>0</v>
      </c>
      <c r="L164" s="20">
        <v>0</v>
      </c>
      <c r="M164" s="216">
        <v>0</v>
      </c>
      <c r="N164" s="142"/>
      <c r="O164" s="142"/>
      <c r="P164" s="20">
        <v>0</v>
      </c>
      <c r="Q164" s="216">
        <v>0</v>
      </c>
      <c r="R164" s="142"/>
      <c r="S164" s="216">
        <v>0</v>
      </c>
      <c r="T164" s="142"/>
      <c r="U164" s="142"/>
      <c r="V164" s="142"/>
      <c r="W164" s="142"/>
      <c r="X164" s="217">
        <v>0</v>
      </c>
      <c r="Y164" s="142"/>
    </row>
    <row r="165" spans="2:25" x14ac:dyDescent="0.2">
      <c r="B165" s="21" t="s">
        <v>323</v>
      </c>
      <c r="C165" s="21" t="s">
        <v>264</v>
      </c>
      <c r="D165" s="220" t="s">
        <v>324</v>
      </c>
      <c r="E165" s="142"/>
      <c r="F165" s="142"/>
      <c r="G165" s="142"/>
      <c r="H165" s="218">
        <v>0</v>
      </c>
      <c r="I165" s="142"/>
      <c r="J165" s="142"/>
      <c r="K165" s="22">
        <v>0</v>
      </c>
      <c r="L165" s="22">
        <v>0</v>
      </c>
      <c r="M165" s="218">
        <v>0</v>
      </c>
      <c r="N165" s="142"/>
      <c r="O165" s="142"/>
      <c r="P165" s="22">
        <v>0</v>
      </c>
      <c r="Q165" s="218">
        <v>0</v>
      </c>
      <c r="R165" s="142"/>
      <c r="S165" s="218">
        <v>0</v>
      </c>
      <c r="T165" s="142"/>
      <c r="U165" s="142"/>
      <c r="V165" s="142"/>
      <c r="W165" s="142"/>
      <c r="X165" s="219">
        <v>0</v>
      </c>
      <c r="Y165" s="142"/>
    </row>
    <row r="166" spans="2:25" x14ac:dyDescent="0.2">
      <c r="B166" s="226" t="s">
        <v>265</v>
      </c>
      <c r="C166" s="142"/>
      <c r="D166" s="142"/>
      <c r="E166" s="142"/>
      <c r="F166" s="142"/>
      <c r="G166" s="142"/>
      <c r="H166" s="224">
        <v>5440</v>
      </c>
      <c r="I166" s="142"/>
      <c r="J166" s="142"/>
      <c r="K166" s="18">
        <v>600</v>
      </c>
      <c r="L166" s="18">
        <v>4840</v>
      </c>
      <c r="M166" s="224">
        <v>0</v>
      </c>
      <c r="N166" s="142"/>
      <c r="O166" s="142"/>
      <c r="P166" s="18">
        <v>600</v>
      </c>
      <c r="Q166" s="224">
        <v>0</v>
      </c>
      <c r="R166" s="142"/>
      <c r="S166" s="224">
        <v>4840</v>
      </c>
      <c r="T166" s="142"/>
      <c r="U166" s="142"/>
      <c r="V166" s="142"/>
      <c r="W166" s="142"/>
      <c r="X166" s="225">
        <v>0.11</v>
      </c>
      <c r="Y166" s="142"/>
    </row>
    <row r="167" spans="2:25" x14ac:dyDescent="0.2">
      <c r="B167" s="19" t="s">
        <v>2</v>
      </c>
      <c r="C167" s="19"/>
      <c r="D167" s="215" t="s">
        <v>161</v>
      </c>
      <c r="E167" s="142"/>
      <c r="F167" s="142"/>
      <c r="G167" s="142"/>
      <c r="H167" s="216">
        <v>5440</v>
      </c>
      <c r="I167" s="142"/>
      <c r="J167" s="142"/>
      <c r="K167" s="20">
        <v>600</v>
      </c>
      <c r="L167" s="20">
        <v>4840</v>
      </c>
      <c r="M167" s="216">
        <v>0</v>
      </c>
      <c r="N167" s="142"/>
      <c r="O167" s="142"/>
      <c r="P167" s="20">
        <v>600</v>
      </c>
      <c r="Q167" s="216">
        <v>0</v>
      </c>
      <c r="R167" s="142"/>
      <c r="S167" s="216">
        <v>4840</v>
      </c>
      <c r="T167" s="142"/>
      <c r="U167" s="142"/>
      <c r="V167" s="142"/>
      <c r="W167" s="142"/>
      <c r="X167" s="217">
        <v>0.11</v>
      </c>
      <c r="Y167" s="142"/>
    </row>
    <row r="168" spans="2:25" x14ac:dyDescent="0.2">
      <c r="B168" s="19" t="s">
        <v>162</v>
      </c>
      <c r="C168" s="19"/>
      <c r="D168" s="215" t="s">
        <v>163</v>
      </c>
      <c r="E168" s="142"/>
      <c r="F168" s="142"/>
      <c r="G168" s="142"/>
      <c r="H168" s="216">
        <v>5440</v>
      </c>
      <c r="I168" s="142"/>
      <c r="J168" s="142"/>
      <c r="K168" s="20">
        <v>600</v>
      </c>
      <c r="L168" s="20">
        <v>4840</v>
      </c>
      <c r="M168" s="216">
        <v>0</v>
      </c>
      <c r="N168" s="142"/>
      <c r="O168" s="142"/>
      <c r="P168" s="20">
        <v>600</v>
      </c>
      <c r="Q168" s="216">
        <v>0</v>
      </c>
      <c r="R168" s="142"/>
      <c r="S168" s="216">
        <v>4840</v>
      </c>
      <c r="T168" s="142"/>
      <c r="U168" s="142"/>
      <c r="V168" s="142"/>
      <c r="W168" s="142"/>
      <c r="X168" s="217">
        <v>0.11</v>
      </c>
      <c r="Y168" s="142"/>
    </row>
    <row r="169" spans="2:25" x14ac:dyDescent="0.2">
      <c r="B169" s="19" t="s">
        <v>77</v>
      </c>
      <c r="C169" s="19"/>
      <c r="D169" s="215" t="s">
        <v>164</v>
      </c>
      <c r="E169" s="142"/>
      <c r="F169" s="142"/>
      <c r="G169" s="142"/>
      <c r="H169" s="216">
        <v>5440</v>
      </c>
      <c r="I169" s="142"/>
      <c r="J169" s="142"/>
      <c r="K169" s="20">
        <v>600</v>
      </c>
      <c r="L169" s="20">
        <v>4840</v>
      </c>
      <c r="M169" s="216">
        <v>0</v>
      </c>
      <c r="N169" s="142"/>
      <c r="O169" s="142"/>
      <c r="P169" s="20">
        <v>600</v>
      </c>
      <c r="Q169" s="216">
        <v>0</v>
      </c>
      <c r="R169" s="142"/>
      <c r="S169" s="216">
        <v>4840</v>
      </c>
      <c r="T169" s="142"/>
      <c r="U169" s="142"/>
      <c r="V169" s="142"/>
      <c r="W169" s="142"/>
      <c r="X169" s="217">
        <v>0.11</v>
      </c>
      <c r="Y169" s="142"/>
    </row>
    <row r="170" spans="2:25" x14ac:dyDescent="0.2">
      <c r="B170" s="21" t="s">
        <v>165</v>
      </c>
      <c r="C170" s="21" t="s">
        <v>266</v>
      </c>
      <c r="D170" s="220" t="s">
        <v>325</v>
      </c>
      <c r="E170" s="142"/>
      <c r="F170" s="142"/>
      <c r="G170" s="142"/>
      <c r="H170" s="218">
        <v>5440</v>
      </c>
      <c r="I170" s="142"/>
      <c r="J170" s="142"/>
      <c r="K170" s="22">
        <v>600</v>
      </c>
      <c r="L170" s="22">
        <v>4840</v>
      </c>
      <c r="M170" s="218">
        <v>0</v>
      </c>
      <c r="N170" s="142"/>
      <c r="O170" s="142"/>
      <c r="P170" s="22">
        <v>600</v>
      </c>
      <c r="Q170" s="218">
        <v>0</v>
      </c>
      <c r="R170" s="142"/>
      <c r="S170" s="218">
        <v>4840</v>
      </c>
      <c r="T170" s="142"/>
      <c r="U170" s="142"/>
      <c r="V170" s="142"/>
      <c r="W170" s="142"/>
      <c r="X170" s="219">
        <v>0.11</v>
      </c>
      <c r="Y170" s="142"/>
    </row>
    <row r="171" spans="2:25" x14ac:dyDescent="0.2">
      <c r="B171" s="223" t="s">
        <v>267</v>
      </c>
      <c r="C171" s="142"/>
      <c r="D171" s="142"/>
      <c r="E171" s="142"/>
      <c r="F171" s="142"/>
      <c r="G171" s="142"/>
      <c r="H171" s="221">
        <v>90000</v>
      </c>
      <c r="I171" s="142"/>
      <c r="J171" s="142"/>
      <c r="K171" s="17">
        <v>0</v>
      </c>
      <c r="L171" s="17">
        <v>90000</v>
      </c>
      <c r="M171" s="221">
        <v>0</v>
      </c>
      <c r="N171" s="142"/>
      <c r="O171" s="142"/>
      <c r="P171" s="17">
        <v>0</v>
      </c>
      <c r="Q171" s="221">
        <v>0</v>
      </c>
      <c r="R171" s="142"/>
      <c r="S171" s="221">
        <v>90000</v>
      </c>
      <c r="T171" s="142"/>
      <c r="U171" s="142"/>
      <c r="V171" s="142"/>
      <c r="W171" s="142"/>
      <c r="X171" s="222">
        <v>0</v>
      </c>
      <c r="Y171" s="142"/>
    </row>
    <row r="172" spans="2:25" x14ac:dyDescent="0.2">
      <c r="B172" s="226" t="s">
        <v>256</v>
      </c>
      <c r="C172" s="142"/>
      <c r="D172" s="142"/>
      <c r="E172" s="142"/>
      <c r="F172" s="142"/>
      <c r="G172" s="142"/>
      <c r="H172" s="224">
        <v>90000</v>
      </c>
      <c r="I172" s="142"/>
      <c r="J172" s="142"/>
      <c r="K172" s="18">
        <v>0</v>
      </c>
      <c r="L172" s="18">
        <v>90000</v>
      </c>
      <c r="M172" s="224">
        <v>0</v>
      </c>
      <c r="N172" s="142"/>
      <c r="O172" s="142"/>
      <c r="P172" s="18">
        <v>0</v>
      </c>
      <c r="Q172" s="224">
        <v>0</v>
      </c>
      <c r="R172" s="142"/>
      <c r="S172" s="224">
        <v>90000</v>
      </c>
      <c r="T172" s="142"/>
      <c r="U172" s="142"/>
      <c r="V172" s="142"/>
      <c r="W172" s="142"/>
      <c r="X172" s="225">
        <v>0</v>
      </c>
      <c r="Y172" s="142"/>
    </row>
    <row r="173" spans="2:25" x14ac:dyDescent="0.2">
      <c r="B173" s="19" t="s">
        <v>2</v>
      </c>
      <c r="C173" s="19"/>
      <c r="D173" s="215" t="s">
        <v>161</v>
      </c>
      <c r="E173" s="142"/>
      <c r="F173" s="142"/>
      <c r="G173" s="142"/>
      <c r="H173" s="216">
        <v>90000</v>
      </c>
      <c r="I173" s="142"/>
      <c r="J173" s="142"/>
      <c r="K173" s="20">
        <v>0</v>
      </c>
      <c r="L173" s="20">
        <v>90000</v>
      </c>
      <c r="M173" s="216">
        <v>0</v>
      </c>
      <c r="N173" s="142"/>
      <c r="O173" s="142"/>
      <c r="P173" s="20">
        <v>0</v>
      </c>
      <c r="Q173" s="216">
        <v>0</v>
      </c>
      <c r="R173" s="142"/>
      <c r="S173" s="216">
        <v>90000</v>
      </c>
      <c r="T173" s="142"/>
      <c r="U173" s="142"/>
      <c r="V173" s="142"/>
      <c r="W173" s="142"/>
      <c r="X173" s="217">
        <v>0</v>
      </c>
      <c r="Y173" s="142"/>
    </row>
    <row r="174" spans="2:25" x14ac:dyDescent="0.2">
      <c r="B174" s="19" t="s">
        <v>162</v>
      </c>
      <c r="C174" s="19"/>
      <c r="D174" s="215" t="s">
        <v>163</v>
      </c>
      <c r="E174" s="142"/>
      <c r="F174" s="142"/>
      <c r="G174" s="142"/>
      <c r="H174" s="216">
        <v>90000</v>
      </c>
      <c r="I174" s="142"/>
      <c r="J174" s="142"/>
      <c r="K174" s="20">
        <v>0</v>
      </c>
      <c r="L174" s="20">
        <v>90000</v>
      </c>
      <c r="M174" s="216">
        <v>0</v>
      </c>
      <c r="N174" s="142"/>
      <c r="O174" s="142"/>
      <c r="P174" s="20">
        <v>0</v>
      </c>
      <c r="Q174" s="216">
        <v>0</v>
      </c>
      <c r="R174" s="142"/>
      <c r="S174" s="216">
        <v>90000</v>
      </c>
      <c r="T174" s="142"/>
      <c r="U174" s="142"/>
      <c r="V174" s="142"/>
      <c r="W174" s="142"/>
      <c r="X174" s="217">
        <v>0</v>
      </c>
      <c r="Y174" s="142"/>
    </row>
    <row r="175" spans="2:25" x14ac:dyDescent="0.2">
      <c r="B175" s="19" t="s">
        <v>77</v>
      </c>
      <c r="C175" s="19"/>
      <c r="D175" s="215" t="s">
        <v>164</v>
      </c>
      <c r="E175" s="142"/>
      <c r="F175" s="142"/>
      <c r="G175" s="142"/>
      <c r="H175" s="216">
        <v>90000</v>
      </c>
      <c r="I175" s="142"/>
      <c r="J175" s="142"/>
      <c r="K175" s="20">
        <v>0</v>
      </c>
      <c r="L175" s="20">
        <v>90000</v>
      </c>
      <c r="M175" s="216">
        <v>0</v>
      </c>
      <c r="N175" s="142"/>
      <c r="O175" s="142"/>
      <c r="P175" s="20">
        <v>0</v>
      </c>
      <c r="Q175" s="216">
        <v>0</v>
      </c>
      <c r="R175" s="142"/>
      <c r="S175" s="216">
        <v>90000</v>
      </c>
      <c r="T175" s="142"/>
      <c r="U175" s="142"/>
      <c r="V175" s="142"/>
      <c r="W175" s="142"/>
      <c r="X175" s="217">
        <v>0</v>
      </c>
      <c r="Y175" s="142"/>
    </row>
    <row r="176" spans="2:25" x14ac:dyDescent="0.2">
      <c r="B176" s="21" t="s">
        <v>165</v>
      </c>
      <c r="C176" s="21" t="s">
        <v>268</v>
      </c>
      <c r="D176" s="220" t="s">
        <v>167</v>
      </c>
      <c r="E176" s="142"/>
      <c r="F176" s="142"/>
      <c r="G176" s="142"/>
      <c r="H176" s="218">
        <v>90000</v>
      </c>
      <c r="I176" s="142"/>
      <c r="J176" s="142"/>
      <c r="K176" s="22">
        <v>0</v>
      </c>
      <c r="L176" s="22">
        <v>90000</v>
      </c>
      <c r="M176" s="218">
        <v>0</v>
      </c>
      <c r="N176" s="142"/>
      <c r="O176" s="142"/>
      <c r="P176" s="22">
        <v>0</v>
      </c>
      <c r="Q176" s="218">
        <v>0</v>
      </c>
      <c r="R176" s="142"/>
      <c r="S176" s="218">
        <v>90000</v>
      </c>
      <c r="T176" s="142"/>
      <c r="U176" s="142"/>
      <c r="V176" s="142"/>
      <c r="W176" s="142"/>
      <c r="X176" s="219">
        <v>0</v>
      </c>
      <c r="Y176" s="142"/>
    </row>
    <row r="177" spans="2:25" x14ac:dyDescent="0.2">
      <c r="B177" s="223" t="s">
        <v>269</v>
      </c>
      <c r="C177" s="142"/>
      <c r="D177" s="142"/>
      <c r="E177" s="142"/>
      <c r="F177" s="142"/>
      <c r="G177" s="142"/>
      <c r="H177" s="221">
        <v>332277.07</v>
      </c>
      <c r="I177" s="142"/>
      <c r="J177" s="142"/>
      <c r="K177" s="17">
        <v>332277.07</v>
      </c>
      <c r="L177" s="17">
        <v>0</v>
      </c>
      <c r="M177" s="221">
        <v>332277.07</v>
      </c>
      <c r="N177" s="142"/>
      <c r="O177" s="142"/>
      <c r="P177" s="17">
        <v>0</v>
      </c>
      <c r="Q177" s="221">
        <v>0</v>
      </c>
      <c r="R177" s="142"/>
      <c r="S177" s="221">
        <v>0</v>
      </c>
      <c r="T177" s="142"/>
      <c r="U177" s="142"/>
      <c r="V177" s="142"/>
      <c r="W177" s="142"/>
      <c r="X177" s="222">
        <v>1</v>
      </c>
      <c r="Y177" s="142"/>
    </row>
    <row r="178" spans="2:25" x14ac:dyDescent="0.2">
      <c r="B178" s="226" t="s">
        <v>160</v>
      </c>
      <c r="C178" s="142"/>
      <c r="D178" s="142"/>
      <c r="E178" s="142"/>
      <c r="F178" s="142"/>
      <c r="G178" s="142"/>
      <c r="H178" s="224">
        <v>26075.69</v>
      </c>
      <c r="I178" s="142"/>
      <c r="J178" s="142"/>
      <c r="K178" s="18">
        <v>26075.69</v>
      </c>
      <c r="L178" s="18">
        <v>0</v>
      </c>
      <c r="M178" s="224">
        <v>26075.69</v>
      </c>
      <c r="N178" s="142"/>
      <c r="O178" s="142"/>
      <c r="P178" s="18">
        <v>0</v>
      </c>
      <c r="Q178" s="224">
        <v>0</v>
      </c>
      <c r="R178" s="142"/>
      <c r="S178" s="224">
        <v>0</v>
      </c>
      <c r="T178" s="142"/>
      <c r="U178" s="142"/>
      <c r="V178" s="142"/>
      <c r="W178" s="142"/>
      <c r="X178" s="225">
        <v>1</v>
      </c>
      <c r="Y178" s="142"/>
    </row>
    <row r="179" spans="2:25" x14ac:dyDescent="0.2">
      <c r="B179" s="19" t="s">
        <v>3</v>
      </c>
      <c r="C179" s="19"/>
      <c r="D179" s="215" t="s">
        <v>220</v>
      </c>
      <c r="E179" s="142"/>
      <c r="F179" s="142"/>
      <c r="G179" s="142"/>
      <c r="H179" s="216">
        <v>26075.69</v>
      </c>
      <c r="I179" s="142"/>
      <c r="J179" s="142"/>
      <c r="K179" s="20">
        <v>26075.69</v>
      </c>
      <c r="L179" s="20">
        <v>0</v>
      </c>
      <c r="M179" s="216">
        <v>26075.69</v>
      </c>
      <c r="N179" s="142"/>
      <c r="O179" s="142"/>
      <c r="P179" s="20">
        <v>0</v>
      </c>
      <c r="Q179" s="216">
        <v>0</v>
      </c>
      <c r="R179" s="142"/>
      <c r="S179" s="216">
        <v>0</v>
      </c>
      <c r="T179" s="142"/>
      <c r="U179" s="142"/>
      <c r="V179" s="142"/>
      <c r="W179" s="142"/>
      <c r="X179" s="217">
        <v>1</v>
      </c>
      <c r="Y179" s="142"/>
    </row>
    <row r="180" spans="2:25" x14ac:dyDescent="0.2">
      <c r="B180" s="19" t="s">
        <v>221</v>
      </c>
      <c r="C180" s="19"/>
      <c r="D180" s="215" t="s">
        <v>222</v>
      </c>
      <c r="E180" s="142"/>
      <c r="F180" s="142"/>
      <c r="G180" s="142"/>
      <c r="H180" s="216">
        <v>26075.69</v>
      </c>
      <c r="I180" s="142"/>
      <c r="J180" s="142"/>
      <c r="K180" s="20">
        <v>26075.69</v>
      </c>
      <c r="L180" s="20">
        <v>0</v>
      </c>
      <c r="M180" s="216">
        <v>26075.69</v>
      </c>
      <c r="N180" s="142"/>
      <c r="O180" s="142"/>
      <c r="P180" s="20">
        <v>0</v>
      </c>
      <c r="Q180" s="216">
        <v>0</v>
      </c>
      <c r="R180" s="142"/>
      <c r="S180" s="216">
        <v>0</v>
      </c>
      <c r="T180" s="142"/>
      <c r="U180" s="142"/>
      <c r="V180" s="142"/>
      <c r="W180" s="142"/>
      <c r="X180" s="217">
        <v>1</v>
      </c>
      <c r="Y180" s="142"/>
    </row>
    <row r="181" spans="2:25" x14ac:dyDescent="0.2">
      <c r="B181" s="19" t="s">
        <v>83</v>
      </c>
      <c r="C181" s="19"/>
      <c r="D181" s="215" t="s">
        <v>223</v>
      </c>
      <c r="E181" s="142"/>
      <c r="F181" s="142"/>
      <c r="G181" s="142"/>
      <c r="H181" s="216">
        <v>23845.75</v>
      </c>
      <c r="I181" s="142"/>
      <c r="J181" s="142"/>
      <c r="K181" s="20">
        <v>23845.75</v>
      </c>
      <c r="L181" s="20">
        <v>0</v>
      </c>
      <c r="M181" s="216">
        <v>23845.75</v>
      </c>
      <c r="N181" s="142"/>
      <c r="O181" s="142"/>
      <c r="P181" s="20">
        <v>0</v>
      </c>
      <c r="Q181" s="216">
        <v>0</v>
      </c>
      <c r="R181" s="142"/>
      <c r="S181" s="216">
        <v>0</v>
      </c>
      <c r="T181" s="142"/>
      <c r="U181" s="142"/>
      <c r="V181" s="142"/>
      <c r="W181" s="142"/>
      <c r="X181" s="217">
        <v>1</v>
      </c>
      <c r="Y181" s="142"/>
    </row>
    <row r="182" spans="2:25" x14ac:dyDescent="0.2">
      <c r="B182" s="21" t="s">
        <v>84</v>
      </c>
      <c r="C182" s="21" t="s">
        <v>270</v>
      </c>
      <c r="D182" s="220" t="s">
        <v>326</v>
      </c>
      <c r="E182" s="142"/>
      <c r="F182" s="142"/>
      <c r="G182" s="142"/>
      <c r="H182" s="218">
        <v>23845.75</v>
      </c>
      <c r="I182" s="142"/>
      <c r="J182" s="142"/>
      <c r="K182" s="22">
        <v>23845.75</v>
      </c>
      <c r="L182" s="22">
        <v>0</v>
      </c>
      <c r="M182" s="218">
        <v>23845.75</v>
      </c>
      <c r="N182" s="142"/>
      <c r="O182" s="142"/>
      <c r="P182" s="22">
        <v>0</v>
      </c>
      <c r="Q182" s="218">
        <v>0</v>
      </c>
      <c r="R182" s="142"/>
      <c r="S182" s="218">
        <v>0</v>
      </c>
      <c r="T182" s="142"/>
      <c r="U182" s="142"/>
      <c r="V182" s="142"/>
      <c r="W182" s="142"/>
      <c r="X182" s="219">
        <v>1</v>
      </c>
      <c r="Y182" s="142"/>
    </row>
    <row r="183" spans="2:25" x14ac:dyDescent="0.2">
      <c r="B183" s="19" t="s">
        <v>226</v>
      </c>
      <c r="C183" s="19"/>
      <c r="D183" s="215" t="s">
        <v>227</v>
      </c>
      <c r="E183" s="142"/>
      <c r="F183" s="142"/>
      <c r="G183" s="142"/>
      <c r="H183" s="216">
        <v>2229.94</v>
      </c>
      <c r="I183" s="142"/>
      <c r="J183" s="142"/>
      <c r="K183" s="20">
        <v>2229.94</v>
      </c>
      <c r="L183" s="20">
        <v>0</v>
      </c>
      <c r="M183" s="216">
        <v>2229.94</v>
      </c>
      <c r="N183" s="142"/>
      <c r="O183" s="142"/>
      <c r="P183" s="20">
        <v>0</v>
      </c>
      <c r="Q183" s="216">
        <v>0</v>
      </c>
      <c r="R183" s="142"/>
      <c r="S183" s="216">
        <v>0</v>
      </c>
      <c r="T183" s="142"/>
      <c r="U183" s="142"/>
      <c r="V183" s="142"/>
      <c r="W183" s="142"/>
      <c r="X183" s="217">
        <v>1</v>
      </c>
      <c r="Y183" s="142"/>
    </row>
    <row r="184" spans="2:25" x14ac:dyDescent="0.2">
      <c r="B184" s="21" t="s">
        <v>228</v>
      </c>
      <c r="C184" s="21" t="s">
        <v>271</v>
      </c>
      <c r="D184" s="220" t="s">
        <v>229</v>
      </c>
      <c r="E184" s="142"/>
      <c r="F184" s="142"/>
      <c r="G184" s="142"/>
      <c r="H184" s="218">
        <v>2229.94</v>
      </c>
      <c r="I184" s="142"/>
      <c r="J184" s="142"/>
      <c r="K184" s="22">
        <v>2229.94</v>
      </c>
      <c r="L184" s="22">
        <v>0</v>
      </c>
      <c r="M184" s="218">
        <v>2229.94</v>
      </c>
      <c r="N184" s="142"/>
      <c r="O184" s="142"/>
      <c r="P184" s="22">
        <v>0</v>
      </c>
      <c r="Q184" s="218">
        <v>0</v>
      </c>
      <c r="R184" s="142"/>
      <c r="S184" s="218">
        <v>0</v>
      </c>
      <c r="T184" s="142"/>
      <c r="U184" s="142"/>
      <c r="V184" s="142"/>
      <c r="W184" s="142"/>
      <c r="X184" s="219">
        <v>1</v>
      </c>
      <c r="Y184" s="142"/>
    </row>
    <row r="185" spans="2:25" x14ac:dyDescent="0.2">
      <c r="B185" s="226" t="s">
        <v>183</v>
      </c>
      <c r="C185" s="142"/>
      <c r="D185" s="142"/>
      <c r="E185" s="142"/>
      <c r="F185" s="142"/>
      <c r="G185" s="142"/>
      <c r="H185" s="224">
        <v>306201.38</v>
      </c>
      <c r="I185" s="142"/>
      <c r="J185" s="142"/>
      <c r="K185" s="18">
        <v>306201.38</v>
      </c>
      <c r="L185" s="18">
        <v>0</v>
      </c>
      <c r="M185" s="224">
        <v>306201.38</v>
      </c>
      <c r="N185" s="142"/>
      <c r="O185" s="142"/>
      <c r="P185" s="18">
        <v>0</v>
      </c>
      <c r="Q185" s="224">
        <v>0</v>
      </c>
      <c r="R185" s="142"/>
      <c r="S185" s="224">
        <v>0</v>
      </c>
      <c r="T185" s="142"/>
      <c r="U185" s="142"/>
      <c r="V185" s="142"/>
      <c r="W185" s="142"/>
      <c r="X185" s="225">
        <v>1</v>
      </c>
      <c r="Y185" s="142"/>
    </row>
    <row r="186" spans="2:25" x14ac:dyDescent="0.2">
      <c r="B186" s="19" t="s">
        <v>2</v>
      </c>
      <c r="C186" s="19"/>
      <c r="D186" s="215" t="s">
        <v>161</v>
      </c>
      <c r="E186" s="142"/>
      <c r="F186" s="142"/>
      <c r="G186" s="142"/>
      <c r="H186" s="216">
        <v>306201.38</v>
      </c>
      <c r="I186" s="142"/>
      <c r="J186" s="142"/>
      <c r="K186" s="20">
        <v>306201.38</v>
      </c>
      <c r="L186" s="20">
        <v>0</v>
      </c>
      <c r="M186" s="216">
        <v>306201.38</v>
      </c>
      <c r="N186" s="142"/>
      <c r="O186" s="142"/>
      <c r="P186" s="20">
        <v>0</v>
      </c>
      <c r="Q186" s="216">
        <v>0</v>
      </c>
      <c r="R186" s="142"/>
      <c r="S186" s="216">
        <v>0</v>
      </c>
      <c r="T186" s="142"/>
      <c r="U186" s="142"/>
      <c r="V186" s="142"/>
      <c r="W186" s="142"/>
      <c r="X186" s="217">
        <v>1</v>
      </c>
      <c r="Y186" s="142"/>
    </row>
    <row r="187" spans="2:25" x14ac:dyDescent="0.2">
      <c r="B187" s="19" t="s">
        <v>162</v>
      </c>
      <c r="C187" s="19"/>
      <c r="D187" s="215" t="s">
        <v>163</v>
      </c>
      <c r="E187" s="142"/>
      <c r="F187" s="142"/>
      <c r="G187" s="142"/>
      <c r="H187" s="216">
        <v>306201.38</v>
      </c>
      <c r="I187" s="142"/>
      <c r="J187" s="142"/>
      <c r="K187" s="20">
        <v>306201.38</v>
      </c>
      <c r="L187" s="20">
        <v>0</v>
      </c>
      <c r="M187" s="216">
        <v>306201.38</v>
      </c>
      <c r="N187" s="142"/>
      <c r="O187" s="142"/>
      <c r="P187" s="20">
        <v>0</v>
      </c>
      <c r="Q187" s="216">
        <v>0</v>
      </c>
      <c r="R187" s="142"/>
      <c r="S187" s="216">
        <v>0</v>
      </c>
      <c r="T187" s="142"/>
      <c r="U187" s="142"/>
      <c r="V187" s="142"/>
      <c r="W187" s="142"/>
      <c r="X187" s="217">
        <v>1</v>
      </c>
      <c r="Y187" s="142"/>
    </row>
    <row r="188" spans="2:25" x14ac:dyDescent="0.2">
      <c r="B188" s="19" t="s">
        <v>80</v>
      </c>
      <c r="C188" s="19"/>
      <c r="D188" s="215" t="s">
        <v>191</v>
      </c>
      <c r="E188" s="142"/>
      <c r="F188" s="142"/>
      <c r="G188" s="142"/>
      <c r="H188" s="216">
        <v>306201.38</v>
      </c>
      <c r="I188" s="142"/>
      <c r="J188" s="142"/>
      <c r="K188" s="20">
        <v>306201.38</v>
      </c>
      <c r="L188" s="20">
        <v>0</v>
      </c>
      <c r="M188" s="216">
        <v>306201.38</v>
      </c>
      <c r="N188" s="142"/>
      <c r="O188" s="142"/>
      <c r="P188" s="20">
        <v>0</v>
      </c>
      <c r="Q188" s="216">
        <v>0</v>
      </c>
      <c r="R188" s="142"/>
      <c r="S188" s="216">
        <v>0</v>
      </c>
      <c r="T188" s="142"/>
      <c r="U188" s="142"/>
      <c r="V188" s="142"/>
      <c r="W188" s="142"/>
      <c r="X188" s="217">
        <v>1</v>
      </c>
      <c r="Y188" s="142"/>
    </row>
    <row r="189" spans="2:25" x14ac:dyDescent="0.2">
      <c r="B189" s="21" t="s">
        <v>101</v>
      </c>
      <c r="C189" s="21" t="s">
        <v>272</v>
      </c>
      <c r="D189" s="220" t="s">
        <v>327</v>
      </c>
      <c r="E189" s="142"/>
      <c r="F189" s="142"/>
      <c r="G189" s="142"/>
      <c r="H189" s="218">
        <v>306201.38</v>
      </c>
      <c r="I189" s="142"/>
      <c r="J189" s="142"/>
      <c r="K189" s="22">
        <v>306201.38</v>
      </c>
      <c r="L189" s="22">
        <v>0</v>
      </c>
      <c r="M189" s="218">
        <v>306201.38</v>
      </c>
      <c r="N189" s="142"/>
      <c r="O189" s="142"/>
      <c r="P189" s="22">
        <v>0</v>
      </c>
      <c r="Q189" s="218">
        <v>0</v>
      </c>
      <c r="R189" s="142"/>
      <c r="S189" s="218">
        <v>0</v>
      </c>
      <c r="T189" s="142"/>
      <c r="U189" s="142"/>
      <c r="V189" s="142"/>
      <c r="W189" s="142"/>
      <c r="X189" s="219">
        <v>1</v>
      </c>
      <c r="Y189" s="142"/>
    </row>
    <row r="190" spans="2:25" x14ac:dyDescent="0.2">
      <c r="B190" s="223" t="s">
        <v>274</v>
      </c>
      <c r="C190" s="142"/>
      <c r="D190" s="142"/>
      <c r="E190" s="142"/>
      <c r="F190" s="142"/>
      <c r="G190" s="142"/>
      <c r="H190" s="221">
        <v>117850</v>
      </c>
      <c r="I190" s="142"/>
      <c r="J190" s="142"/>
      <c r="K190" s="17">
        <v>101303.12</v>
      </c>
      <c r="L190" s="17">
        <v>16546.88</v>
      </c>
      <c r="M190" s="221">
        <v>98303.12</v>
      </c>
      <c r="N190" s="142"/>
      <c r="O190" s="142"/>
      <c r="P190" s="17">
        <v>3000</v>
      </c>
      <c r="Q190" s="221">
        <v>0</v>
      </c>
      <c r="R190" s="142"/>
      <c r="S190" s="221">
        <v>16546.88</v>
      </c>
      <c r="T190" s="142"/>
      <c r="U190" s="142"/>
      <c r="V190" s="142"/>
      <c r="W190" s="142"/>
      <c r="X190" s="222">
        <v>0.86</v>
      </c>
      <c r="Y190" s="142"/>
    </row>
    <row r="191" spans="2:25" x14ac:dyDescent="0.2">
      <c r="B191" s="226" t="s">
        <v>273</v>
      </c>
      <c r="C191" s="142"/>
      <c r="D191" s="142"/>
      <c r="E191" s="142"/>
      <c r="F191" s="142"/>
      <c r="G191" s="142"/>
      <c r="H191" s="224">
        <v>117850</v>
      </c>
      <c r="I191" s="142"/>
      <c r="J191" s="142"/>
      <c r="K191" s="18">
        <v>101303.12</v>
      </c>
      <c r="L191" s="18">
        <v>16546.88</v>
      </c>
      <c r="M191" s="224">
        <v>98303.12</v>
      </c>
      <c r="N191" s="142"/>
      <c r="O191" s="142"/>
      <c r="P191" s="18">
        <v>3000</v>
      </c>
      <c r="Q191" s="224">
        <v>0</v>
      </c>
      <c r="R191" s="142"/>
      <c r="S191" s="224">
        <v>16546.88</v>
      </c>
      <c r="T191" s="142"/>
      <c r="U191" s="142"/>
      <c r="V191" s="142"/>
      <c r="W191" s="142"/>
      <c r="X191" s="225">
        <v>0.86</v>
      </c>
      <c r="Y191" s="142"/>
    </row>
    <row r="192" spans="2:25" x14ac:dyDescent="0.2">
      <c r="B192" s="19" t="s">
        <v>2</v>
      </c>
      <c r="C192" s="19"/>
      <c r="D192" s="215" t="s">
        <v>161</v>
      </c>
      <c r="E192" s="142"/>
      <c r="F192" s="142"/>
      <c r="G192" s="142"/>
      <c r="H192" s="216">
        <v>117850</v>
      </c>
      <c r="I192" s="142"/>
      <c r="J192" s="142"/>
      <c r="K192" s="20">
        <v>101303.12</v>
      </c>
      <c r="L192" s="20">
        <v>16546.88</v>
      </c>
      <c r="M192" s="216">
        <v>98303.12</v>
      </c>
      <c r="N192" s="142"/>
      <c r="O192" s="142"/>
      <c r="P192" s="20">
        <v>3000</v>
      </c>
      <c r="Q192" s="216">
        <v>0</v>
      </c>
      <c r="R192" s="142"/>
      <c r="S192" s="216">
        <v>16546.88</v>
      </c>
      <c r="T192" s="142"/>
      <c r="U192" s="142"/>
      <c r="V192" s="142"/>
      <c r="W192" s="142"/>
      <c r="X192" s="217">
        <v>0.86</v>
      </c>
      <c r="Y192" s="142"/>
    </row>
    <row r="193" spans="2:25" x14ac:dyDescent="0.2">
      <c r="B193" s="19" t="s">
        <v>237</v>
      </c>
      <c r="C193" s="19"/>
      <c r="D193" s="215" t="s">
        <v>238</v>
      </c>
      <c r="E193" s="142"/>
      <c r="F193" s="142"/>
      <c r="G193" s="142"/>
      <c r="H193" s="216">
        <v>108350</v>
      </c>
      <c r="I193" s="142"/>
      <c r="J193" s="142"/>
      <c r="K193" s="20">
        <v>96264.320000000007</v>
      </c>
      <c r="L193" s="20">
        <v>12085.68</v>
      </c>
      <c r="M193" s="216">
        <v>93264.320000000007</v>
      </c>
      <c r="N193" s="142"/>
      <c r="O193" s="142"/>
      <c r="P193" s="20">
        <v>3000</v>
      </c>
      <c r="Q193" s="216">
        <v>0</v>
      </c>
      <c r="R193" s="142"/>
      <c r="S193" s="216">
        <v>12085.68</v>
      </c>
      <c r="T193" s="142"/>
      <c r="U193" s="142"/>
      <c r="V193" s="142"/>
      <c r="W193" s="142"/>
      <c r="X193" s="217">
        <v>0.88900000000000001</v>
      </c>
      <c r="Y193" s="142"/>
    </row>
    <row r="194" spans="2:25" x14ac:dyDescent="0.2">
      <c r="B194" s="19" t="s">
        <v>68</v>
      </c>
      <c r="C194" s="19"/>
      <c r="D194" s="215" t="s">
        <v>239</v>
      </c>
      <c r="E194" s="142"/>
      <c r="F194" s="142"/>
      <c r="G194" s="142"/>
      <c r="H194" s="216">
        <v>86950</v>
      </c>
      <c r="I194" s="142"/>
      <c r="J194" s="142"/>
      <c r="K194" s="20">
        <v>75420.02</v>
      </c>
      <c r="L194" s="20">
        <v>11529.98</v>
      </c>
      <c r="M194" s="216">
        <v>75420.02</v>
      </c>
      <c r="N194" s="142"/>
      <c r="O194" s="142"/>
      <c r="P194" s="20">
        <v>0</v>
      </c>
      <c r="Q194" s="216">
        <v>0</v>
      </c>
      <c r="R194" s="142"/>
      <c r="S194" s="216">
        <v>11529.98</v>
      </c>
      <c r="T194" s="142"/>
      <c r="U194" s="142"/>
      <c r="V194" s="142"/>
      <c r="W194" s="142"/>
      <c r="X194" s="217">
        <v>0.86699999999999999</v>
      </c>
      <c r="Y194" s="142"/>
    </row>
    <row r="195" spans="2:25" x14ac:dyDescent="0.2">
      <c r="B195" s="21" t="s">
        <v>69</v>
      </c>
      <c r="C195" s="21" t="s">
        <v>275</v>
      </c>
      <c r="D195" s="220" t="s">
        <v>70</v>
      </c>
      <c r="E195" s="142"/>
      <c r="F195" s="142"/>
      <c r="G195" s="142"/>
      <c r="H195" s="218">
        <v>86950</v>
      </c>
      <c r="I195" s="142"/>
      <c r="J195" s="142"/>
      <c r="K195" s="22">
        <v>75420.02</v>
      </c>
      <c r="L195" s="22">
        <v>11529.98</v>
      </c>
      <c r="M195" s="218">
        <v>75420.02</v>
      </c>
      <c r="N195" s="142"/>
      <c r="O195" s="142"/>
      <c r="P195" s="22">
        <v>0</v>
      </c>
      <c r="Q195" s="218">
        <v>0</v>
      </c>
      <c r="R195" s="142"/>
      <c r="S195" s="218">
        <v>11529.98</v>
      </c>
      <c r="T195" s="142"/>
      <c r="U195" s="142"/>
      <c r="V195" s="142"/>
      <c r="W195" s="142"/>
      <c r="X195" s="219">
        <v>0.86699999999999999</v>
      </c>
      <c r="Y195" s="142"/>
    </row>
    <row r="196" spans="2:25" x14ac:dyDescent="0.2">
      <c r="B196" s="19" t="s">
        <v>71</v>
      </c>
      <c r="C196" s="19"/>
      <c r="D196" s="215" t="s">
        <v>241</v>
      </c>
      <c r="E196" s="142"/>
      <c r="F196" s="142"/>
      <c r="G196" s="142"/>
      <c r="H196" s="216">
        <v>8400</v>
      </c>
      <c r="I196" s="142"/>
      <c r="J196" s="142"/>
      <c r="K196" s="20">
        <v>8400</v>
      </c>
      <c r="L196" s="20">
        <v>0</v>
      </c>
      <c r="M196" s="216">
        <v>5400</v>
      </c>
      <c r="N196" s="142"/>
      <c r="O196" s="142"/>
      <c r="P196" s="20">
        <v>3000</v>
      </c>
      <c r="Q196" s="216">
        <v>0</v>
      </c>
      <c r="R196" s="142"/>
      <c r="S196" s="216">
        <v>0</v>
      </c>
      <c r="T196" s="142"/>
      <c r="U196" s="142"/>
      <c r="V196" s="142"/>
      <c r="W196" s="142"/>
      <c r="X196" s="217">
        <v>1</v>
      </c>
      <c r="Y196" s="142"/>
    </row>
    <row r="197" spans="2:25" x14ac:dyDescent="0.2">
      <c r="B197" s="21" t="s">
        <v>73</v>
      </c>
      <c r="C197" s="21" t="s">
        <v>276</v>
      </c>
      <c r="D197" s="220" t="s">
        <v>72</v>
      </c>
      <c r="E197" s="142"/>
      <c r="F197" s="142"/>
      <c r="G197" s="142"/>
      <c r="H197" s="218">
        <v>8400</v>
      </c>
      <c r="I197" s="142"/>
      <c r="J197" s="142"/>
      <c r="K197" s="22">
        <v>8400</v>
      </c>
      <c r="L197" s="22">
        <v>0</v>
      </c>
      <c r="M197" s="218">
        <v>5400</v>
      </c>
      <c r="N197" s="142"/>
      <c r="O197" s="142"/>
      <c r="P197" s="22">
        <v>3000</v>
      </c>
      <c r="Q197" s="218">
        <v>0</v>
      </c>
      <c r="R197" s="142"/>
      <c r="S197" s="218">
        <v>0</v>
      </c>
      <c r="T197" s="142"/>
      <c r="U197" s="142"/>
      <c r="V197" s="142"/>
      <c r="W197" s="142"/>
      <c r="X197" s="219">
        <v>1</v>
      </c>
      <c r="Y197" s="142"/>
    </row>
    <row r="198" spans="2:25" x14ac:dyDescent="0.2">
      <c r="B198" s="19" t="s">
        <v>74</v>
      </c>
      <c r="C198" s="19"/>
      <c r="D198" s="215" t="s">
        <v>243</v>
      </c>
      <c r="E198" s="142"/>
      <c r="F198" s="142"/>
      <c r="G198" s="142"/>
      <c r="H198" s="216">
        <v>13000</v>
      </c>
      <c r="I198" s="142"/>
      <c r="J198" s="142"/>
      <c r="K198" s="20">
        <v>12444.3</v>
      </c>
      <c r="L198" s="20">
        <v>555.70000000000005</v>
      </c>
      <c r="M198" s="216">
        <v>12444.3</v>
      </c>
      <c r="N198" s="142"/>
      <c r="O198" s="142"/>
      <c r="P198" s="20">
        <v>0</v>
      </c>
      <c r="Q198" s="216">
        <v>0</v>
      </c>
      <c r="R198" s="142"/>
      <c r="S198" s="216">
        <v>555.70000000000005</v>
      </c>
      <c r="T198" s="142"/>
      <c r="U198" s="142"/>
      <c r="V198" s="142"/>
      <c r="W198" s="142"/>
      <c r="X198" s="217">
        <v>0.95699999999999996</v>
      </c>
      <c r="Y198" s="142"/>
    </row>
    <row r="199" spans="2:25" x14ac:dyDescent="0.2">
      <c r="B199" s="21" t="s">
        <v>75</v>
      </c>
      <c r="C199" s="21" t="s">
        <v>277</v>
      </c>
      <c r="D199" s="220" t="s">
        <v>76</v>
      </c>
      <c r="E199" s="142"/>
      <c r="F199" s="142"/>
      <c r="G199" s="142"/>
      <c r="H199" s="218">
        <v>13000</v>
      </c>
      <c r="I199" s="142"/>
      <c r="J199" s="142"/>
      <c r="K199" s="22">
        <v>12444.3</v>
      </c>
      <c r="L199" s="22">
        <v>555.70000000000005</v>
      </c>
      <c r="M199" s="218">
        <v>12444.3</v>
      </c>
      <c r="N199" s="142"/>
      <c r="O199" s="142"/>
      <c r="P199" s="22">
        <v>0</v>
      </c>
      <c r="Q199" s="218">
        <v>0</v>
      </c>
      <c r="R199" s="142"/>
      <c r="S199" s="218">
        <v>555.70000000000005</v>
      </c>
      <c r="T199" s="142"/>
      <c r="U199" s="142"/>
      <c r="V199" s="142"/>
      <c r="W199" s="142"/>
      <c r="X199" s="219">
        <v>0.95699999999999996</v>
      </c>
      <c r="Y199" s="142"/>
    </row>
    <row r="200" spans="2:25" x14ac:dyDescent="0.2">
      <c r="B200" s="19" t="s">
        <v>162</v>
      </c>
      <c r="C200" s="19"/>
      <c r="D200" s="215" t="s">
        <v>163</v>
      </c>
      <c r="E200" s="142"/>
      <c r="F200" s="142"/>
      <c r="G200" s="142"/>
      <c r="H200" s="216">
        <v>9500</v>
      </c>
      <c r="I200" s="142"/>
      <c r="J200" s="142"/>
      <c r="K200" s="20">
        <v>5038.8</v>
      </c>
      <c r="L200" s="20">
        <v>4461.2</v>
      </c>
      <c r="M200" s="216">
        <v>5038.8</v>
      </c>
      <c r="N200" s="142"/>
      <c r="O200" s="142"/>
      <c r="P200" s="20">
        <v>0</v>
      </c>
      <c r="Q200" s="216">
        <v>0</v>
      </c>
      <c r="R200" s="142"/>
      <c r="S200" s="216">
        <v>4461.2</v>
      </c>
      <c r="T200" s="142"/>
      <c r="U200" s="142"/>
      <c r="V200" s="142"/>
      <c r="W200" s="142"/>
      <c r="X200" s="217">
        <v>0.53</v>
      </c>
      <c r="Y200" s="142"/>
    </row>
    <row r="201" spans="2:25" x14ac:dyDescent="0.2">
      <c r="B201" s="19" t="s">
        <v>77</v>
      </c>
      <c r="C201" s="19"/>
      <c r="D201" s="215" t="s">
        <v>164</v>
      </c>
      <c r="E201" s="142"/>
      <c r="F201" s="142"/>
      <c r="G201" s="142"/>
      <c r="H201" s="216">
        <v>9500</v>
      </c>
      <c r="I201" s="142"/>
      <c r="J201" s="142"/>
      <c r="K201" s="20">
        <v>5038.8</v>
      </c>
      <c r="L201" s="20">
        <v>4461.2</v>
      </c>
      <c r="M201" s="216">
        <v>5038.8</v>
      </c>
      <c r="N201" s="142"/>
      <c r="O201" s="142"/>
      <c r="P201" s="20">
        <v>0</v>
      </c>
      <c r="Q201" s="216">
        <v>0</v>
      </c>
      <c r="R201" s="142"/>
      <c r="S201" s="216">
        <v>4461.2</v>
      </c>
      <c r="T201" s="142"/>
      <c r="U201" s="142"/>
      <c r="V201" s="142"/>
      <c r="W201" s="142"/>
      <c r="X201" s="217">
        <v>0.53</v>
      </c>
      <c r="Y201" s="142"/>
    </row>
    <row r="202" spans="2:25" x14ac:dyDescent="0.2">
      <c r="B202" s="21" t="s">
        <v>78</v>
      </c>
      <c r="C202" s="21" t="s">
        <v>278</v>
      </c>
      <c r="D202" s="220" t="s">
        <v>79</v>
      </c>
      <c r="E202" s="142"/>
      <c r="F202" s="142"/>
      <c r="G202" s="142"/>
      <c r="H202" s="218">
        <v>9500</v>
      </c>
      <c r="I202" s="142"/>
      <c r="J202" s="142"/>
      <c r="K202" s="22">
        <v>5038.8</v>
      </c>
      <c r="L202" s="22">
        <v>4461.2</v>
      </c>
      <c r="M202" s="218">
        <v>5038.8</v>
      </c>
      <c r="N202" s="142"/>
      <c r="O202" s="142"/>
      <c r="P202" s="22">
        <v>0</v>
      </c>
      <c r="Q202" s="218">
        <v>0</v>
      </c>
      <c r="R202" s="142"/>
      <c r="S202" s="218">
        <v>4461.2</v>
      </c>
      <c r="T202" s="142"/>
      <c r="U202" s="142"/>
      <c r="V202" s="142"/>
      <c r="W202" s="142"/>
      <c r="X202" s="219">
        <v>0.53</v>
      </c>
      <c r="Y202" s="142"/>
    </row>
  </sheetData>
  <mergeCells count="1162">
    <mergeCell ref="I7:N7"/>
    <mergeCell ref="I9:N9"/>
    <mergeCell ref="D74:G74"/>
    <mergeCell ref="H74:J74"/>
    <mergeCell ref="M74:O74"/>
    <mergeCell ref="D11:G11"/>
    <mergeCell ref="H11:J11"/>
    <mergeCell ref="M11:O11"/>
    <mergeCell ref="B15:G15"/>
    <mergeCell ref="H15:J15"/>
    <mergeCell ref="B2:F2"/>
    <mergeCell ref="W2:X2"/>
    <mergeCell ref="B3:E3"/>
    <mergeCell ref="R3:T3"/>
    <mergeCell ref="W3:X3"/>
    <mergeCell ref="B4:D4"/>
    <mergeCell ref="J4:M5"/>
    <mergeCell ref="J2:L3"/>
    <mergeCell ref="Q11:R11"/>
    <mergeCell ref="S11:W11"/>
    <mergeCell ref="X11:Y11"/>
    <mergeCell ref="B12:G12"/>
    <mergeCell ref="H12:J12"/>
    <mergeCell ref="M12:O12"/>
    <mergeCell ref="Q12:R12"/>
    <mergeCell ref="S12:W12"/>
    <mergeCell ref="X12:Y12"/>
    <mergeCell ref="B13:G13"/>
    <mergeCell ref="H13:J13"/>
    <mergeCell ref="M13:O13"/>
    <mergeCell ref="Q13:R13"/>
    <mergeCell ref="S13:W13"/>
    <mergeCell ref="X13:Y13"/>
    <mergeCell ref="B14:G14"/>
    <mergeCell ref="H14:J14"/>
    <mergeCell ref="M14:O14"/>
    <mergeCell ref="Q14:R14"/>
    <mergeCell ref="S14:W14"/>
    <mergeCell ref="X14:Y14"/>
    <mergeCell ref="Q15:R15"/>
    <mergeCell ref="S15:W15"/>
    <mergeCell ref="X15:Y15"/>
    <mergeCell ref="B16:G16"/>
    <mergeCell ref="H16:J16"/>
    <mergeCell ref="M16:O16"/>
    <mergeCell ref="Q16:R16"/>
    <mergeCell ref="S16:W16"/>
    <mergeCell ref="X16:Y16"/>
    <mergeCell ref="M15:O15"/>
    <mergeCell ref="Q17:R17"/>
    <mergeCell ref="S17:W17"/>
    <mergeCell ref="X17:Y17"/>
    <mergeCell ref="B18:G18"/>
    <mergeCell ref="H18:J18"/>
    <mergeCell ref="M18:O18"/>
    <mergeCell ref="Q18:R18"/>
    <mergeCell ref="S18:W18"/>
    <mergeCell ref="X18:Y18"/>
    <mergeCell ref="B17:G17"/>
    <mergeCell ref="Q19:R19"/>
    <mergeCell ref="S19:W19"/>
    <mergeCell ref="X19:Y19"/>
    <mergeCell ref="D20:G20"/>
    <mergeCell ref="H20:J20"/>
    <mergeCell ref="M20:O20"/>
    <mergeCell ref="Q20:R20"/>
    <mergeCell ref="S20:W20"/>
    <mergeCell ref="X20:Y20"/>
    <mergeCell ref="H17:J17"/>
    <mergeCell ref="M17:O17"/>
    <mergeCell ref="D19:G19"/>
    <mergeCell ref="H19:J19"/>
    <mergeCell ref="M19:O19"/>
    <mergeCell ref="Q21:R21"/>
    <mergeCell ref="S21:W21"/>
    <mergeCell ref="X21:Y21"/>
    <mergeCell ref="D22:G22"/>
    <mergeCell ref="H22:J22"/>
    <mergeCell ref="M22:O22"/>
    <mergeCell ref="Q22:R22"/>
    <mergeCell ref="S22:W22"/>
    <mergeCell ref="X22:Y22"/>
    <mergeCell ref="Q23:R23"/>
    <mergeCell ref="S23:W23"/>
    <mergeCell ref="X23:Y23"/>
    <mergeCell ref="D24:G24"/>
    <mergeCell ref="H24:J24"/>
    <mergeCell ref="M24:O24"/>
    <mergeCell ref="Q24:R24"/>
    <mergeCell ref="S24:W24"/>
    <mergeCell ref="X24:Y24"/>
    <mergeCell ref="D23:G23"/>
    <mergeCell ref="H23:J23"/>
    <mergeCell ref="M23:O23"/>
    <mergeCell ref="D21:G21"/>
    <mergeCell ref="H21:J21"/>
    <mergeCell ref="M21:O21"/>
    <mergeCell ref="Q25:R25"/>
    <mergeCell ref="S25:W25"/>
    <mergeCell ref="X25:Y25"/>
    <mergeCell ref="B26:G26"/>
    <mergeCell ref="H26:J26"/>
    <mergeCell ref="M26:O26"/>
    <mergeCell ref="Q26:R26"/>
    <mergeCell ref="S26:W26"/>
    <mergeCell ref="X26:Y26"/>
    <mergeCell ref="Q27:R27"/>
    <mergeCell ref="S27:W27"/>
    <mergeCell ref="X27:Y27"/>
    <mergeCell ref="D28:G28"/>
    <mergeCell ref="H28:J28"/>
    <mergeCell ref="M28:O28"/>
    <mergeCell ref="Q28:R28"/>
    <mergeCell ref="S28:W28"/>
    <mergeCell ref="X28:Y28"/>
    <mergeCell ref="B25:G25"/>
    <mergeCell ref="H25:J25"/>
    <mergeCell ref="M25:O25"/>
    <mergeCell ref="D27:G27"/>
    <mergeCell ref="H27:J27"/>
    <mergeCell ref="M27:O27"/>
    <mergeCell ref="Q29:R29"/>
    <mergeCell ref="S29:W29"/>
    <mergeCell ref="X29:Y29"/>
    <mergeCell ref="D30:G30"/>
    <mergeCell ref="H30:J30"/>
    <mergeCell ref="M30:O30"/>
    <mergeCell ref="Q30:R30"/>
    <mergeCell ref="S30:W30"/>
    <mergeCell ref="X30:Y30"/>
    <mergeCell ref="Q31:R31"/>
    <mergeCell ref="S31:W31"/>
    <mergeCell ref="X31:Y31"/>
    <mergeCell ref="D32:G32"/>
    <mergeCell ref="H32:J32"/>
    <mergeCell ref="M32:O32"/>
    <mergeCell ref="Q32:R32"/>
    <mergeCell ref="S32:W32"/>
    <mergeCell ref="X32:Y32"/>
    <mergeCell ref="B31:G31"/>
    <mergeCell ref="H31:J31"/>
    <mergeCell ref="M31:O31"/>
    <mergeCell ref="D29:G29"/>
    <mergeCell ref="H29:J29"/>
    <mergeCell ref="M29:O29"/>
    <mergeCell ref="Q33:R33"/>
    <mergeCell ref="S33:W33"/>
    <mergeCell ref="X33:Y33"/>
    <mergeCell ref="D34:G34"/>
    <mergeCell ref="H34:J34"/>
    <mergeCell ref="M34:O34"/>
    <mergeCell ref="Q34:R34"/>
    <mergeCell ref="S34:W34"/>
    <mergeCell ref="X34:Y34"/>
    <mergeCell ref="Q35:R35"/>
    <mergeCell ref="S35:W35"/>
    <mergeCell ref="X35:Y35"/>
    <mergeCell ref="B36:G36"/>
    <mergeCell ref="H36:J36"/>
    <mergeCell ref="M36:O36"/>
    <mergeCell ref="Q36:R36"/>
    <mergeCell ref="S36:W36"/>
    <mergeCell ref="X36:Y36"/>
    <mergeCell ref="D33:G33"/>
    <mergeCell ref="H33:J33"/>
    <mergeCell ref="M33:O33"/>
    <mergeCell ref="D35:G35"/>
    <mergeCell ref="H35:J35"/>
    <mergeCell ref="M35:O35"/>
    <mergeCell ref="D37:G37"/>
    <mergeCell ref="H37:J37"/>
    <mergeCell ref="M37:O37"/>
    <mergeCell ref="Q37:R37"/>
    <mergeCell ref="S37:W37"/>
    <mergeCell ref="X37:Y37"/>
    <mergeCell ref="D38:G38"/>
    <mergeCell ref="H38:J38"/>
    <mergeCell ref="M38:O38"/>
    <mergeCell ref="Q38:R38"/>
    <mergeCell ref="S38:W38"/>
    <mergeCell ref="X38:Y38"/>
    <mergeCell ref="Q39:R39"/>
    <mergeCell ref="S39:W39"/>
    <mergeCell ref="X39:Y39"/>
    <mergeCell ref="D40:G40"/>
    <mergeCell ref="H40:J40"/>
    <mergeCell ref="M40:O40"/>
    <mergeCell ref="Q40:R40"/>
    <mergeCell ref="S40:W40"/>
    <mergeCell ref="X40:Y40"/>
    <mergeCell ref="D39:G39"/>
    <mergeCell ref="H39:J39"/>
    <mergeCell ref="M39:O39"/>
    <mergeCell ref="Q41:R41"/>
    <mergeCell ref="S41:W41"/>
    <mergeCell ref="X41:Y41"/>
    <mergeCell ref="D42:G42"/>
    <mergeCell ref="H42:J42"/>
    <mergeCell ref="M42:O42"/>
    <mergeCell ref="Q42:R42"/>
    <mergeCell ref="S42:W42"/>
    <mergeCell ref="X42:Y42"/>
    <mergeCell ref="Q43:R43"/>
    <mergeCell ref="S43:W43"/>
    <mergeCell ref="X43:Y43"/>
    <mergeCell ref="D44:G44"/>
    <mergeCell ref="H44:J44"/>
    <mergeCell ref="M44:O44"/>
    <mergeCell ref="Q44:R44"/>
    <mergeCell ref="S44:W44"/>
    <mergeCell ref="X44:Y44"/>
    <mergeCell ref="B41:G41"/>
    <mergeCell ref="H41:J41"/>
    <mergeCell ref="M41:O41"/>
    <mergeCell ref="D43:G43"/>
    <mergeCell ref="H43:J43"/>
    <mergeCell ref="M43:O43"/>
    <mergeCell ref="Q45:R45"/>
    <mergeCell ref="S45:W45"/>
    <mergeCell ref="X45:Y45"/>
    <mergeCell ref="B46:G46"/>
    <mergeCell ref="H46:J46"/>
    <mergeCell ref="M46:O46"/>
    <mergeCell ref="Q46:R46"/>
    <mergeCell ref="S46:W46"/>
    <mergeCell ref="X46:Y46"/>
    <mergeCell ref="D45:G45"/>
    <mergeCell ref="Q47:R47"/>
    <mergeCell ref="S47:W47"/>
    <mergeCell ref="X47:Y47"/>
    <mergeCell ref="D48:G48"/>
    <mergeCell ref="H48:J48"/>
    <mergeCell ref="M48:O48"/>
    <mergeCell ref="Q48:R48"/>
    <mergeCell ref="S48:W48"/>
    <mergeCell ref="X48:Y48"/>
    <mergeCell ref="H45:J45"/>
    <mergeCell ref="M45:O45"/>
    <mergeCell ref="D47:G47"/>
    <mergeCell ref="H47:J47"/>
    <mergeCell ref="M47:O47"/>
    <mergeCell ref="Q49:R49"/>
    <mergeCell ref="S49:W49"/>
    <mergeCell ref="X49:Y49"/>
    <mergeCell ref="D50:G50"/>
    <mergeCell ref="H50:J50"/>
    <mergeCell ref="M50:O50"/>
    <mergeCell ref="Q50:R50"/>
    <mergeCell ref="S50:W50"/>
    <mergeCell ref="X50:Y50"/>
    <mergeCell ref="Q51:R51"/>
    <mergeCell ref="S51:W51"/>
    <mergeCell ref="X51:Y51"/>
    <mergeCell ref="B52:G52"/>
    <mergeCell ref="H52:J52"/>
    <mergeCell ref="M52:O52"/>
    <mergeCell ref="Q52:R52"/>
    <mergeCell ref="S52:W52"/>
    <mergeCell ref="X52:Y52"/>
    <mergeCell ref="B51:G51"/>
    <mergeCell ref="H51:J51"/>
    <mergeCell ref="M51:O51"/>
    <mergeCell ref="D49:G49"/>
    <mergeCell ref="H49:J49"/>
    <mergeCell ref="M49:O49"/>
    <mergeCell ref="Q53:R53"/>
    <mergeCell ref="S53:W53"/>
    <mergeCell ref="X53:Y53"/>
    <mergeCell ref="D54:G54"/>
    <mergeCell ref="H54:J54"/>
    <mergeCell ref="M54:O54"/>
    <mergeCell ref="Q54:R54"/>
    <mergeCell ref="S54:W54"/>
    <mergeCell ref="X54:Y54"/>
    <mergeCell ref="Q55:R55"/>
    <mergeCell ref="S55:W55"/>
    <mergeCell ref="X55:Y55"/>
    <mergeCell ref="D56:G56"/>
    <mergeCell ref="H56:J56"/>
    <mergeCell ref="M56:O56"/>
    <mergeCell ref="Q56:R56"/>
    <mergeCell ref="S56:W56"/>
    <mergeCell ref="X56:Y56"/>
    <mergeCell ref="D53:G53"/>
    <mergeCell ref="H53:J53"/>
    <mergeCell ref="M53:O53"/>
    <mergeCell ref="D55:G55"/>
    <mergeCell ref="H55:J55"/>
    <mergeCell ref="M55:O55"/>
    <mergeCell ref="B57:G57"/>
    <mergeCell ref="H57:J57"/>
    <mergeCell ref="M57:O57"/>
    <mergeCell ref="Q57:R57"/>
    <mergeCell ref="S57:W57"/>
    <mergeCell ref="X57:Y57"/>
    <mergeCell ref="D58:G58"/>
    <mergeCell ref="H58:J58"/>
    <mergeCell ref="M58:O58"/>
    <mergeCell ref="Q58:R58"/>
    <mergeCell ref="S58:W58"/>
    <mergeCell ref="X58:Y58"/>
    <mergeCell ref="D59:G59"/>
    <mergeCell ref="H59:J59"/>
    <mergeCell ref="M59:O59"/>
    <mergeCell ref="Q59:R59"/>
    <mergeCell ref="S59:W59"/>
    <mergeCell ref="X59:Y59"/>
    <mergeCell ref="Q60:R60"/>
    <mergeCell ref="S60:W60"/>
    <mergeCell ref="X60:Y60"/>
    <mergeCell ref="D61:G61"/>
    <mergeCell ref="H61:J61"/>
    <mergeCell ref="M61:O61"/>
    <mergeCell ref="Q61:R61"/>
    <mergeCell ref="S61:W61"/>
    <mergeCell ref="X61:Y61"/>
    <mergeCell ref="D60:G60"/>
    <mergeCell ref="Q62:R62"/>
    <mergeCell ref="S62:W62"/>
    <mergeCell ref="X62:Y62"/>
    <mergeCell ref="D63:G63"/>
    <mergeCell ref="H63:J63"/>
    <mergeCell ref="M63:O63"/>
    <mergeCell ref="Q63:R63"/>
    <mergeCell ref="S63:W63"/>
    <mergeCell ref="X63:Y63"/>
    <mergeCell ref="H60:J60"/>
    <mergeCell ref="M60:O60"/>
    <mergeCell ref="D62:G62"/>
    <mergeCell ref="H62:J62"/>
    <mergeCell ref="M62:O62"/>
    <mergeCell ref="Q64:R64"/>
    <mergeCell ref="S64:W64"/>
    <mergeCell ref="X64:Y64"/>
    <mergeCell ref="D65:G65"/>
    <mergeCell ref="H65:J65"/>
    <mergeCell ref="M65:O65"/>
    <mergeCell ref="Q65:R65"/>
    <mergeCell ref="S65:W65"/>
    <mergeCell ref="X65:Y65"/>
    <mergeCell ref="Q66:R66"/>
    <mergeCell ref="S66:W66"/>
    <mergeCell ref="X66:Y66"/>
    <mergeCell ref="D67:G67"/>
    <mergeCell ref="H67:J67"/>
    <mergeCell ref="M67:O67"/>
    <mergeCell ref="Q67:R67"/>
    <mergeCell ref="S67:W67"/>
    <mergeCell ref="X67:Y67"/>
    <mergeCell ref="D66:G66"/>
    <mergeCell ref="H66:J66"/>
    <mergeCell ref="M66:O66"/>
    <mergeCell ref="D64:G64"/>
    <mergeCell ref="H64:J64"/>
    <mergeCell ref="M64:O64"/>
    <mergeCell ref="Q68:R68"/>
    <mergeCell ref="S68:W68"/>
    <mergeCell ref="X68:Y68"/>
    <mergeCell ref="D69:G69"/>
    <mergeCell ref="H69:J69"/>
    <mergeCell ref="M69:O69"/>
    <mergeCell ref="Q69:R69"/>
    <mergeCell ref="S69:W69"/>
    <mergeCell ref="X69:Y69"/>
    <mergeCell ref="D68:G68"/>
    <mergeCell ref="Q70:R70"/>
    <mergeCell ref="S70:W70"/>
    <mergeCell ref="X70:Y70"/>
    <mergeCell ref="D71:G71"/>
    <mergeCell ref="H71:J71"/>
    <mergeCell ref="M71:O71"/>
    <mergeCell ref="Q71:R71"/>
    <mergeCell ref="S71:W71"/>
    <mergeCell ref="X71:Y71"/>
    <mergeCell ref="H68:J68"/>
    <mergeCell ref="M68:O68"/>
    <mergeCell ref="D70:G70"/>
    <mergeCell ref="H70:J70"/>
    <mergeCell ref="M70:O70"/>
    <mergeCell ref="Q72:R72"/>
    <mergeCell ref="S72:W72"/>
    <mergeCell ref="X72:Y72"/>
    <mergeCell ref="D73:G73"/>
    <mergeCell ref="H73:J73"/>
    <mergeCell ref="M73:O73"/>
    <mergeCell ref="Q73:R73"/>
    <mergeCell ref="S73:W73"/>
    <mergeCell ref="X73:Y73"/>
    <mergeCell ref="Q74:R74"/>
    <mergeCell ref="S74:W74"/>
    <mergeCell ref="X74:Y74"/>
    <mergeCell ref="D75:G75"/>
    <mergeCell ref="H75:J75"/>
    <mergeCell ref="M75:O75"/>
    <mergeCell ref="Q75:R75"/>
    <mergeCell ref="S75:W75"/>
    <mergeCell ref="X75:Y75"/>
    <mergeCell ref="D72:G72"/>
    <mergeCell ref="H72:J72"/>
    <mergeCell ref="M72:O72"/>
    <mergeCell ref="Q76:R76"/>
    <mergeCell ref="S76:W76"/>
    <mergeCell ref="X76:Y76"/>
    <mergeCell ref="D77:G77"/>
    <mergeCell ref="H77:J77"/>
    <mergeCell ref="M77:O77"/>
    <mergeCell ref="Q77:R77"/>
    <mergeCell ref="S77:W77"/>
    <mergeCell ref="X77:Y77"/>
    <mergeCell ref="D78:G78"/>
    <mergeCell ref="H78:J78"/>
    <mergeCell ref="M78:O78"/>
    <mergeCell ref="Q78:R78"/>
    <mergeCell ref="S78:W78"/>
    <mergeCell ref="X78:Y78"/>
    <mergeCell ref="Q79:R79"/>
    <mergeCell ref="S79:W79"/>
    <mergeCell ref="X79:Y79"/>
    <mergeCell ref="D76:G76"/>
    <mergeCell ref="H76:J76"/>
    <mergeCell ref="M76:O76"/>
    <mergeCell ref="H79:J79"/>
    <mergeCell ref="M79:O79"/>
    <mergeCell ref="Q80:R80"/>
    <mergeCell ref="S80:W80"/>
    <mergeCell ref="X80:Y80"/>
    <mergeCell ref="D79:G79"/>
    <mergeCell ref="Q81:R81"/>
    <mergeCell ref="S81:W81"/>
    <mergeCell ref="X81:Y81"/>
    <mergeCell ref="D82:G82"/>
    <mergeCell ref="H82:J82"/>
    <mergeCell ref="M82:O82"/>
    <mergeCell ref="Q82:R82"/>
    <mergeCell ref="S82:W82"/>
    <mergeCell ref="X82:Y82"/>
    <mergeCell ref="Q83:R83"/>
    <mergeCell ref="S83:W83"/>
    <mergeCell ref="X83:Y83"/>
    <mergeCell ref="H84:J84"/>
    <mergeCell ref="M84:O84"/>
    <mergeCell ref="Q84:R84"/>
    <mergeCell ref="S84:W84"/>
    <mergeCell ref="X84:Y84"/>
    <mergeCell ref="B84:G84"/>
    <mergeCell ref="D81:G81"/>
    <mergeCell ref="H81:J81"/>
    <mergeCell ref="M81:O81"/>
    <mergeCell ref="H83:J83"/>
    <mergeCell ref="M83:O83"/>
    <mergeCell ref="D83:G83"/>
    <mergeCell ref="D80:G80"/>
    <mergeCell ref="H80:J80"/>
    <mergeCell ref="M80:O80"/>
    <mergeCell ref="Q85:R85"/>
    <mergeCell ref="S85:W85"/>
    <mergeCell ref="X85:Y85"/>
    <mergeCell ref="D86:G86"/>
    <mergeCell ref="H86:J86"/>
    <mergeCell ref="M86:O86"/>
    <mergeCell ref="Q86:R86"/>
    <mergeCell ref="S86:W86"/>
    <mergeCell ref="X86:Y86"/>
    <mergeCell ref="H87:J87"/>
    <mergeCell ref="M87:O87"/>
    <mergeCell ref="Q87:R87"/>
    <mergeCell ref="S87:W87"/>
    <mergeCell ref="X87:Y87"/>
    <mergeCell ref="D88:G88"/>
    <mergeCell ref="H88:J88"/>
    <mergeCell ref="M88:O88"/>
    <mergeCell ref="Q88:R88"/>
    <mergeCell ref="S88:W88"/>
    <mergeCell ref="X88:Y88"/>
    <mergeCell ref="H85:J85"/>
    <mergeCell ref="M85:O85"/>
    <mergeCell ref="D85:G85"/>
    <mergeCell ref="D87:G87"/>
    <mergeCell ref="Q89:R89"/>
    <mergeCell ref="S89:W89"/>
    <mergeCell ref="X89:Y89"/>
    <mergeCell ref="D90:G90"/>
    <mergeCell ref="H90:J90"/>
    <mergeCell ref="M90:O90"/>
    <mergeCell ref="Q90:R90"/>
    <mergeCell ref="S90:W90"/>
    <mergeCell ref="X90:Y90"/>
    <mergeCell ref="Q91:R91"/>
    <mergeCell ref="S91:W91"/>
    <mergeCell ref="X91:Y91"/>
    <mergeCell ref="D92:G92"/>
    <mergeCell ref="H92:J92"/>
    <mergeCell ref="M92:O92"/>
    <mergeCell ref="Q92:R92"/>
    <mergeCell ref="S92:W92"/>
    <mergeCell ref="X92:Y92"/>
    <mergeCell ref="D89:G89"/>
    <mergeCell ref="H89:J89"/>
    <mergeCell ref="M89:O89"/>
    <mergeCell ref="D91:G91"/>
    <mergeCell ref="H91:J91"/>
    <mergeCell ref="M91:O91"/>
    <mergeCell ref="D93:G93"/>
    <mergeCell ref="H93:J93"/>
    <mergeCell ref="M93:O93"/>
    <mergeCell ref="Q93:R93"/>
    <mergeCell ref="S93:W93"/>
    <mergeCell ref="X93:Y93"/>
    <mergeCell ref="D94:G94"/>
    <mergeCell ref="H94:J94"/>
    <mergeCell ref="M94:O94"/>
    <mergeCell ref="Q94:R94"/>
    <mergeCell ref="S94:W94"/>
    <mergeCell ref="X94:Y94"/>
    <mergeCell ref="D95:G95"/>
    <mergeCell ref="H95:J95"/>
    <mergeCell ref="M95:O95"/>
    <mergeCell ref="Q95:R95"/>
    <mergeCell ref="S95:W95"/>
    <mergeCell ref="X95:Y95"/>
    <mergeCell ref="D96:G96"/>
    <mergeCell ref="H96:J96"/>
    <mergeCell ref="M96:O96"/>
    <mergeCell ref="Q96:R96"/>
    <mergeCell ref="S96:W96"/>
    <mergeCell ref="X96:Y96"/>
    <mergeCell ref="D97:G97"/>
    <mergeCell ref="H97:J97"/>
    <mergeCell ref="M97:O97"/>
    <mergeCell ref="Q97:R97"/>
    <mergeCell ref="S97:W97"/>
    <mergeCell ref="X97:Y97"/>
    <mergeCell ref="D98:G98"/>
    <mergeCell ref="H98:J98"/>
    <mergeCell ref="M98:O98"/>
    <mergeCell ref="Q98:R98"/>
    <mergeCell ref="S98:W98"/>
    <mergeCell ref="X98:Y98"/>
    <mergeCell ref="D99:G99"/>
    <mergeCell ref="H99:J99"/>
    <mergeCell ref="M99:O99"/>
    <mergeCell ref="Q99:R99"/>
    <mergeCell ref="S99:W99"/>
    <mergeCell ref="X99:Y99"/>
    <mergeCell ref="D100:G100"/>
    <mergeCell ref="H100:J100"/>
    <mergeCell ref="M100:O100"/>
    <mergeCell ref="Q100:R100"/>
    <mergeCell ref="S100:W100"/>
    <mergeCell ref="X100:Y100"/>
    <mergeCell ref="D101:G101"/>
    <mergeCell ref="H101:J101"/>
    <mergeCell ref="M101:O101"/>
    <mergeCell ref="Q101:R101"/>
    <mergeCell ref="S101:W101"/>
    <mergeCell ref="X101:Y101"/>
    <mergeCell ref="H102:J102"/>
    <mergeCell ref="M102:O102"/>
    <mergeCell ref="Q102:R102"/>
    <mergeCell ref="S102:W102"/>
    <mergeCell ref="X102:Y102"/>
    <mergeCell ref="D102:G102"/>
    <mergeCell ref="D103:G103"/>
    <mergeCell ref="H103:J103"/>
    <mergeCell ref="M103:O103"/>
    <mergeCell ref="Q103:R103"/>
    <mergeCell ref="S103:W103"/>
    <mergeCell ref="X103:Y103"/>
    <mergeCell ref="D104:G104"/>
    <mergeCell ref="H104:J104"/>
    <mergeCell ref="M104:O104"/>
    <mergeCell ref="Q104:R104"/>
    <mergeCell ref="S104:W104"/>
    <mergeCell ref="X104:Y104"/>
    <mergeCell ref="D105:G105"/>
    <mergeCell ref="H105:J105"/>
    <mergeCell ref="M105:O105"/>
    <mergeCell ref="Q105:R105"/>
    <mergeCell ref="S105:W105"/>
    <mergeCell ref="X105:Y105"/>
    <mergeCell ref="D106:G106"/>
    <mergeCell ref="H106:J106"/>
    <mergeCell ref="M106:O106"/>
    <mergeCell ref="Q106:R106"/>
    <mergeCell ref="S106:W106"/>
    <mergeCell ref="X106:Y106"/>
    <mergeCell ref="B107:G107"/>
    <mergeCell ref="H107:J107"/>
    <mergeCell ref="M107:O107"/>
    <mergeCell ref="Q107:R107"/>
    <mergeCell ref="S107:W107"/>
    <mergeCell ref="X107:Y107"/>
    <mergeCell ref="D108:G108"/>
    <mergeCell ref="H108:J108"/>
    <mergeCell ref="M108:O108"/>
    <mergeCell ref="Q108:R108"/>
    <mergeCell ref="S108:W108"/>
    <mergeCell ref="X108:Y108"/>
    <mergeCell ref="D109:G109"/>
    <mergeCell ref="H109:J109"/>
    <mergeCell ref="M109:O109"/>
    <mergeCell ref="Q109:R109"/>
    <mergeCell ref="S109:W109"/>
    <mergeCell ref="X109:Y109"/>
    <mergeCell ref="D110:G110"/>
    <mergeCell ref="H110:J110"/>
    <mergeCell ref="M110:O110"/>
    <mergeCell ref="Q110:R110"/>
    <mergeCell ref="S110:W110"/>
    <mergeCell ref="X110:Y110"/>
    <mergeCell ref="D111:G111"/>
    <mergeCell ref="H111:J111"/>
    <mergeCell ref="M111:O111"/>
    <mergeCell ref="Q111:R111"/>
    <mergeCell ref="S111:W111"/>
    <mergeCell ref="X111:Y111"/>
    <mergeCell ref="B112:G112"/>
    <mergeCell ref="H112:J112"/>
    <mergeCell ref="M112:O112"/>
    <mergeCell ref="Q112:R112"/>
    <mergeCell ref="S112:W112"/>
    <mergeCell ref="X112:Y112"/>
    <mergeCell ref="D113:G113"/>
    <mergeCell ref="H113:J113"/>
    <mergeCell ref="M113:O113"/>
    <mergeCell ref="Q113:R113"/>
    <mergeCell ref="S113:W113"/>
    <mergeCell ref="X113:Y113"/>
    <mergeCell ref="D114:G114"/>
    <mergeCell ref="H114:J114"/>
    <mergeCell ref="M114:O114"/>
    <mergeCell ref="Q114:R114"/>
    <mergeCell ref="S114:W114"/>
    <mergeCell ref="X114:Y114"/>
    <mergeCell ref="D115:G115"/>
    <mergeCell ref="H115:J115"/>
    <mergeCell ref="M115:O115"/>
    <mergeCell ref="Q115:R115"/>
    <mergeCell ref="S115:W115"/>
    <mergeCell ref="X115:Y115"/>
    <mergeCell ref="D116:G116"/>
    <mergeCell ref="H116:J116"/>
    <mergeCell ref="M116:O116"/>
    <mergeCell ref="Q116:R116"/>
    <mergeCell ref="S116:W116"/>
    <mergeCell ref="X116:Y116"/>
    <mergeCell ref="H117:J117"/>
    <mergeCell ref="M117:O117"/>
    <mergeCell ref="Q117:R117"/>
    <mergeCell ref="S117:W117"/>
    <mergeCell ref="X117:Y117"/>
    <mergeCell ref="B117:G117"/>
    <mergeCell ref="D118:G118"/>
    <mergeCell ref="H118:J118"/>
    <mergeCell ref="M118:O118"/>
    <mergeCell ref="Q118:R118"/>
    <mergeCell ref="S118:W118"/>
    <mergeCell ref="X118:Y118"/>
    <mergeCell ref="D119:G119"/>
    <mergeCell ref="H119:J119"/>
    <mergeCell ref="M119:O119"/>
    <mergeCell ref="Q119:R119"/>
    <mergeCell ref="S119:W119"/>
    <mergeCell ref="X119:Y119"/>
    <mergeCell ref="D120:G120"/>
    <mergeCell ref="H120:J120"/>
    <mergeCell ref="M120:O120"/>
    <mergeCell ref="Q120:R120"/>
    <mergeCell ref="S120:W120"/>
    <mergeCell ref="X120:Y120"/>
    <mergeCell ref="D121:G121"/>
    <mergeCell ref="H121:J121"/>
    <mergeCell ref="M121:O121"/>
    <mergeCell ref="Q121:R121"/>
    <mergeCell ref="S121:W121"/>
    <mergeCell ref="X121:Y121"/>
    <mergeCell ref="D122:G122"/>
    <mergeCell ref="H122:J122"/>
    <mergeCell ref="M122:O122"/>
    <mergeCell ref="Q122:R122"/>
    <mergeCell ref="S122:W122"/>
    <mergeCell ref="X122:Y122"/>
    <mergeCell ref="D123:G123"/>
    <mergeCell ref="H123:J123"/>
    <mergeCell ref="M123:O123"/>
    <mergeCell ref="Q123:R123"/>
    <mergeCell ref="S123:W123"/>
    <mergeCell ref="X123:Y123"/>
    <mergeCell ref="D124:G124"/>
    <mergeCell ref="H124:J124"/>
    <mergeCell ref="M124:O124"/>
    <mergeCell ref="Q124:R124"/>
    <mergeCell ref="S124:W124"/>
    <mergeCell ref="X124:Y124"/>
    <mergeCell ref="D125:G125"/>
    <mergeCell ref="H125:J125"/>
    <mergeCell ref="M125:O125"/>
    <mergeCell ref="Q125:R125"/>
    <mergeCell ref="S125:W125"/>
    <mergeCell ref="X125:Y125"/>
    <mergeCell ref="D126:G126"/>
    <mergeCell ref="H126:J126"/>
    <mergeCell ref="M126:O126"/>
    <mergeCell ref="Q126:R126"/>
    <mergeCell ref="S126:W126"/>
    <mergeCell ref="X126:Y126"/>
    <mergeCell ref="D127:G127"/>
    <mergeCell ref="H127:J127"/>
    <mergeCell ref="M127:O127"/>
    <mergeCell ref="Q127:R127"/>
    <mergeCell ref="S127:W127"/>
    <mergeCell ref="X127:Y127"/>
    <mergeCell ref="D128:G128"/>
    <mergeCell ref="H128:J128"/>
    <mergeCell ref="M128:O128"/>
    <mergeCell ref="Q128:R128"/>
    <mergeCell ref="S128:W128"/>
    <mergeCell ref="X128:Y128"/>
    <mergeCell ref="D129:G129"/>
    <mergeCell ref="H129:J129"/>
    <mergeCell ref="M129:O129"/>
    <mergeCell ref="Q129:R129"/>
    <mergeCell ref="S129:W129"/>
    <mergeCell ref="X129:Y129"/>
    <mergeCell ref="D130:G130"/>
    <mergeCell ref="H130:J130"/>
    <mergeCell ref="M130:O130"/>
    <mergeCell ref="Q130:R130"/>
    <mergeCell ref="S130:W130"/>
    <mergeCell ref="X130:Y130"/>
    <mergeCell ref="D131:G131"/>
    <mergeCell ref="H131:J131"/>
    <mergeCell ref="M131:O131"/>
    <mergeCell ref="Q131:R131"/>
    <mergeCell ref="S131:W131"/>
    <mergeCell ref="X131:Y131"/>
    <mergeCell ref="D132:G132"/>
    <mergeCell ref="H132:J132"/>
    <mergeCell ref="M132:O132"/>
    <mergeCell ref="Q132:R132"/>
    <mergeCell ref="S132:W132"/>
    <mergeCell ref="X132:Y132"/>
    <mergeCell ref="D133:G133"/>
    <mergeCell ref="H133:J133"/>
    <mergeCell ref="M133:O133"/>
    <mergeCell ref="Q133:R133"/>
    <mergeCell ref="S133:W133"/>
    <mergeCell ref="X133:Y133"/>
    <mergeCell ref="D134:G134"/>
    <mergeCell ref="H134:J134"/>
    <mergeCell ref="M134:O134"/>
    <mergeCell ref="Q134:R134"/>
    <mergeCell ref="S134:W134"/>
    <mergeCell ref="X134:Y134"/>
    <mergeCell ref="D135:G135"/>
    <mergeCell ref="H135:J135"/>
    <mergeCell ref="M135:O135"/>
    <mergeCell ref="Q135:R135"/>
    <mergeCell ref="S135:W135"/>
    <mergeCell ref="X135:Y135"/>
    <mergeCell ref="D136:G136"/>
    <mergeCell ref="H136:J136"/>
    <mergeCell ref="M136:O136"/>
    <mergeCell ref="Q136:R136"/>
    <mergeCell ref="S136:W136"/>
    <mergeCell ref="X136:Y136"/>
    <mergeCell ref="D137:G137"/>
    <mergeCell ref="H137:J137"/>
    <mergeCell ref="M137:O137"/>
    <mergeCell ref="Q137:R137"/>
    <mergeCell ref="S137:W137"/>
    <mergeCell ref="X137:Y137"/>
    <mergeCell ref="D138:G138"/>
    <mergeCell ref="H138:J138"/>
    <mergeCell ref="M138:O138"/>
    <mergeCell ref="Q138:R138"/>
    <mergeCell ref="S138:W138"/>
    <mergeCell ref="X138:Y138"/>
    <mergeCell ref="D139:G139"/>
    <mergeCell ref="H139:J139"/>
    <mergeCell ref="M139:O139"/>
    <mergeCell ref="Q139:R139"/>
    <mergeCell ref="S139:W139"/>
    <mergeCell ref="X139:Y139"/>
    <mergeCell ref="D140:G140"/>
    <mergeCell ref="H140:J140"/>
    <mergeCell ref="M140:O140"/>
    <mergeCell ref="Q140:R140"/>
    <mergeCell ref="S140:W140"/>
    <mergeCell ref="X140:Y140"/>
    <mergeCell ref="H141:J141"/>
    <mergeCell ref="M141:O141"/>
    <mergeCell ref="Q141:R141"/>
    <mergeCell ref="S141:W141"/>
    <mergeCell ref="X141:Y141"/>
    <mergeCell ref="D141:G141"/>
    <mergeCell ref="D142:G142"/>
    <mergeCell ref="H142:J142"/>
    <mergeCell ref="M142:O142"/>
    <mergeCell ref="Q142:R142"/>
    <mergeCell ref="S142:W142"/>
    <mergeCell ref="X142:Y142"/>
    <mergeCell ref="D143:G143"/>
    <mergeCell ref="H143:J143"/>
    <mergeCell ref="M143:O143"/>
    <mergeCell ref="Q143:R143"/>
    <mergeCell ref="S143:W143"/>
    <mergeCell ref="X143:Y143"/>
    <mergeCell ref="D144:G144"/>
    <mergeCell ref="H144:J144"/>
    <mergeCell ref="M144:O144"/>
    <mergeCell ref="Q144:R144"/>
    <mergeCell ref="S144:W144"/>
    <mergeCell ref="X144:Y144"/>
    <mergeCell ref="D145:G145"/>
    <mergeCell ref="H145:J145"/>
    <mergeCell ref="M145:O145"/>
    <mergeCell ref="Q145:R145"/>
    <mergeCell ref="S145:W145"/>
    <mergeCell ref="X145:Y145"/>
    <mergeCell ref="D146:G146"/>
    <mergeCell ref="H146:J146"/>
    <mergeCell ref="M146:O146"/>
    <mergeCell ref="Q146:R146"/>
    <mergeCell ref="S146:W146"/>
    <mergeCell ref="X146:Y146"/>
    <mergeCell ref="H147:J147"/>
    <mergeCell ref="M147:O147"/>
    <mergeCell ref="Q147:R147"/>
    <mergeCell ref="S147:W147"/>
    <mergeCell ref="X147:Y147"/>
    <mergeCell ref="B147:G147"/>
    <mergeCell ref="H148:J148"/>
    <mergeCell ref="M148:O148"/>
    <mergeCell ref="Q148:R148"/>
    <mergeCell ref="S148:W148"/>
    <mergeCell ref="X148:Y148"/>
    <mergeCell ref="D148:G148"/>
    <mergeCell ref="D149:G149"/>
    <mergeCell ref="H149:J149"/>
    <mergeCell ref="M149:O149"/>
    <mergeCell ref="Q149:R149"/>
    <mergeCell ref="S149:W149"/>
    <mergeCell ref="X149:Y149"/>
    <mergeCell ref="D150:G150"/>
    <mergeCell ref="H150:J150"/>
    <mergeCell ref="M150:O150"/>
    <mergeCell ref="Q150:R150"/>
    <mergeCell ref="S150:W150"/>
    <mergeCell ref="X150:Y150"/>
    <mergeCell ref="D151:G151"/>
    <mergeCell ref="H151:J151"/>
    <mergeCell ref="M151:O151"/>
    <mergeCell ref="Q151:R151"/>
    <mergeCell ref="S151:W151"/>
    <mergeCell ref="X151:Y151"/>
    <mergeCell ref="D152:G152"/>
    <mergeCell ref="H152:J152"/>
    <mergeCell ref="M152:O152"/>
    <mergeCell ref="Q152:R152"/>
    <mergeCell ref="S152:W152"/>
    <mergeCell ref="X152:Y152"/>
    <mergeCell ref="D153:G153"/>
    <mergeCell ref="H153:J153"/>
    <mergeCell ref="M153:O153"/>
    <mergeCell ref="Q153:R153"/>
    <mergeCell ref="S153:W153"/>
    <mergeCell ref="X153:Y153"/>
    <mergeCell ref="D154:G154"/>
    <mergeCell ref="H154:J154"/>
    <mergeCell ref="M154:O154"/>
    <mergeCell ref="Q154:R154"/>
    <mergeCell ref="S154:W154"/>
    <mergeCell ref="X154:Y154"/>
    <mergeCell ref="D155:G155"/>
    <mergeCell ref="H155:J155"/>
    <mergeCell ref="M155:O155"/>
    <mergeCell ref="Q155:R155"/>
    <mergeCell ref="S155:W155"/>
    <mergeCell ref="X155:Y155"/>
    <mergeCell ref="D156:G156"/>
    <mergeCell ref="H156:J156"/>
    <mergeCell ref="M156:O156"/>
    <mergeCell ref="Q156:R156"/>
    <mergeCell ref="S156:W156"/>
    <mergeCell ref="X156:Y156"/>
    <mergeCell ref="D157:G157"/>
    <mergeCell ref="H157:J157"/>
    <mergeCell ref="M157:O157"/>
    <mergeCell ref="Q157:R157"/>
    <mergeCell ref="S157:W157"/>
    <mergeCell ref="X157:Y157"/>
    <mergeCell ref="D158:G158"/>
    <mergeCell ref="H158:J158"/>
    <mergeCell ref="M158:O158"/>
    <mergeCell ref="Q158:R158"/>
    <mergeCell ref="S158:W158"/>
    <mergeCell ref="X158:Y158"/>
    <mergeCell ref="D159:G159"/>
    <mergeCell ref="H159:J159"/>
    <mergeCell ref="M159:O159"/>
    <mergeCell ref="Q159:R159"/>
    <mergeCell ref="S159:W159"/>
    <mergeCell ref="X159:Y159"/>
    <mergeCell ref="D160:G160"/>
    <mergeCell ref="H160:J160"/>
    <mergeCell ref="M160:O160"/>
    <mergeCell ref="Q160:R160"/>
    <mergeCell ref="S160:W160"/>
    <mergeCell ref="X160:Y160"/>
    <mergeCell ref="D161:G161"/>
    <mergeCell ref="H161:J161"/>
    <mergeCell ref="M161:O161"/>
    <mergeCell ref="Q161:R161"/>
    <mergeCell ref="S161:W161"/>
    <mergeCell ref="X161:Y161"/>
    <mergeCell ref="D162:G162"/>
    <mergeCell ref="H162:J162"/>
    <mergeCell ref="M162:O162"/>
    <mergeCell ref="Q162:R162"/>
    <mergeCell ref="S162:W162"/>
    <mergeCell ref="X162:Y162"/>
    <mergeCell ref="D163:G163"/>
    <mergeCell ref="H163:J163"/>
    <mergeCell ref="M163:O163"/>
    <mergeCell ref="Q163:R163"/>
    <mergeCell ref="S163:W163"/>
    <mergeCell ref="X163:Y163"/>
    <mergeCell ref="D164:G164"/>
    <mergeCell ref="H164:J164"/>
    <mergeCell ref="M164:O164"/>
    <mergeCell ref="Q164:R164"/>
    <mergeCell ref="S164:W164"/>
    <mergeCell ref="X164:Y164"/>
    <mergeCell ref="D165:G165"/>
    <mergeCell ref="H165:J165"/>
    <mergeCell ref="M165:O165"/>
    <mergeCell ref="Q165:R165"/>
    <mergeCell ref="S165:W165"/>
    <mergeCell ref="X165:Y165"/>
    <mergeCell ref="H166:J166"/>
    <mergeCell ref="M166:O166"/>
    <mergeCell ref="Q166:R166"/>
    <mergeCell ref="S166:W166"/>
    <mergeCell ref="X166:Y166"/>
    <mergeCell ref="B166:G166"/>
    <mergeCell ref="D167:G167"/>
    <mergeCell ref="H167:J167"/>
    <mergeCell ref="M167:O167"/>
    <mergeCell ref="Q167:R167"/>
    <mergeCell ref="S167:W167"/>
    <mergeCell ref="X167:Y167"/>
    <mergeCell ref="D168:G168"/>
    <mergeCell ref="H168:J168"/>
    <mergeCell ref="M168:O168"/>
    <mergeCell ref="Q168:R168"/>
    <mergeCell ref="S168:W168"/>
    <mergeCell ref="X168:Y168"/>
    <mergeCell ref="H169:J169"/>
    <mergeCell ref="M169:O169"/>
    <mergeCell ref="Q169:R169"/>
    <mergeCell ref="S169:W169"/>
    <mergeCell ref="X169:Y169"/>
    <mergeCell ref="D169:G169"/>
    <mergeCell ref="D170:G170"/>
    <mergeCell ref="H170:J170"/>
    <mergeCell ref="M170:O170"/>
    <mergeCell ref="Q170:R170"/>
    <mergeCell ref="S170:W170"/>
    <mergeCell ref="X170:Y170"/>
    <mergeCell ref="H171:J171"/>
    <mergeCell ref="M171:O171"/>
    <mergeCell ref="Q171:R171"/>
    <mergeCell ref="S171:W171"/>
    <mergeCell ref="X171:Y171"/>
    <mergeCell ref="B171:G171"/>
    <mergeCell ref="H172:J172"/>
    <mergeCell ref="M172:O172"/>
    <mergeCell ref="Q172:R172"/>
    <mergeCell ref="S172:W172"/>
    <mergeCell ref="X172:Y172"/>
    <mergeCell ref="B172:G172"/>
    <mergeCell ref="D173:G173"/>
    <mergeCell ref="H173:J173"/>
    <mergeCell ref="M173:O173"/>
    <mergeCell ref="Q173:R173"/>
    <mergeCell ref="S173:W173"/>
    <mergeCell ref="X173:Y173"/>
    <mergeCell ref="D174:G174"/>
    <mergeCell ref="H174:J174"/>
    <mergeCell ref="M174:O174"/>
    <mergeCell ref="Q174:R174"/>
    <mergeCell ref="S174:W174"/>
    <mergeCell ref="X174:Y174"/>
    <mergeCell ref="D175:G175"/>
    <mergeCell ref="H175:J175"/>
    <mergeCell ref="M175:O175"/>
    <mergeCell ref="Q175:R175"/>
    <mergeCell ref="S175:W175"/>
    <mergeCell ref="X175:Y175"/>
    <mergeCell ref="H176:J176"/>
    <mergeCell ref="M176:O176"/>
    <mergeCell ref="Q176:R176"/>
    <mergeCell ref="S176:W176"/>
    <mergeCell ref="X176:Y176"/>
    <mergeCell ref="D176:G176"/>
    <mergeCell ref="B177:G177"/>
    <mergeCell ref="H177:J177"/>
    <mergeCell ref="M177:O177"/>
    <mergeCell ref="Q177:R177"/>
    <mergeCell ref="S177:W177"/>
    <mergeCell ref="X177:Y177"/>
    <mergeCell ref="H178:J178"/>
    <mergeCell ref="M178:O178"/>
    <mergeCell ref="Q178:R178"/>
    <mergeCell ref="S178:W178"/>
    <mergeCell ref="X178:Y178"/>
    <mergeCell ref="B178:G178"/>
    <mergeCell ref="D179:G179"/>
    <mergeCell ref="H179:J179"/>
    <mergeCell ref="M179:O179"/>
    <mergeCell ref="Q179:R179"/>
    <mergeCell ref="S179:W179"/>
    <mergeCell ref="X179:Y179"/>
    <mergeCell ref="D180:G180"/>
    <mergeCell ref="H180:J180"/>
    <mergeCell ref="M180:O180"/>
    <mergeCell ref="Q180:R180"/>
    <mergeCell ref="S180:W180"/>
    <mergeCell ref="X180:Y180"/>
    <mergeCell ref="D181:G181"/>
    <mergeCell ref="H181:J181"/>
    <mergeCell ref="M181:O181"/>
    <mergeCell ref="Q181:R181"/>
    <mergeCell ref="S181:W181"/>
    <mergeCell ref="X181:Y181"/>
    <mergeCell ref="D182:G182"/>
    <mergeCell ref="H182:J182"/>
    <mergeCell ref="M182:O182"/>
    <mergeCell ref="Q182:R182"/>
    <mergeCell ref="S182:W182"/>
    <mergeCell ref="X182:Y182"/>
    <mergeCell ref="D183:G183"/>
    <mergeCell ref="H183:J183"/>
    <mergeCell ref="M183:O183"/>
    <mergeCell ref="Q183:R183"/>
    <mergeCell ref="S183:W183"/>
    <mergeCell ref="X183:Y183"/>
    <mergeCell ref="H184:J184"/>
    <mergeCell ref="M184:O184"/>
    <mergeCell ref="Q184:R184"/>
    <mergeCell ref="S184:W184"/>
    <mergeCell ref="X184:Y184"/>
    <mergeCell ref="D184:G184"/>
    <mergeCell ref="B185:G185"/>
    <mergeCell ref="H185:J185"/>
    <mergeCell ref="M185:O185"/>
    <mergeCell ref="Q185:R185"/>
    <mergeCell ref="S185:W185"/>
    <mergeCell ref="X185:Y185"/>
    <mergeCell ref="D186:G186"/>
    <mergeCell ref="H186:J186"/>
    <mergeCell ref="M186:O186"/>
    <mergeCell ref="Q186:R186"/>
    <mergeCell ref="S186:W186"/>
    <mergeCell ref="X186:Y186"/>
    <mergeCell ref="D187:G187"/>
    <mergeCell ref="H187:J187"/>
    <mergeCell ref="M187:O187"/>
    <mergeCell ref="Q187:R187"/>
    <mergeCell ref="S187:W187"/>
    <mergeCell ref="X187:Y187"/>
    <mergeCell ref="D188:G188"/>
    <mergeCell ref="H188:J188"/>
    <mergeCell ref="M188:O188"/>
    <mergeCell ref="Q188:R188"/>
    <mergeCell ref="S188:W188"/>
    <mergeCell ref="X188:Y188"/>
    <mergeCell ref="D189:G189"/>
    <mergeCell ref="H189:J189"/>
    <mergeCell ref="M189:O189"/>
    <mergeCell ref="Q189:R189"/>
    <mergeCell ref="S189:W189"/>
    <mergeCell ref="X189:Y189"/>
    <mergeCell ref="H190:J190"/>
    <mergeCell ref="M190:O190"/>
    <mergeCell ref="Q190:R190"/>
    <mergeCell ref="S190:W190"/>
    <mergeCell ref="X190:Y190"/>
    <mergeCell ref="B190:G190"/>
    <mergeCell ref="H191:J191"/>
    <mergeCell ref="M191:O191"/>
    <mergeCell ref="Q191:R191"/>
    <mergeCell ref="S191:W191"/>
    <mergeCell ref="X191:Y191"/>
    <mergeCell ref="B191:G191"/>
    <mergeCell ref="H192:J192"/>
    <mergeCell ref="M192:O192"/>
    <mergeCell ref="Q192:R192"/>
    <mergeCell ref="S192:W192"/>
    <mergeCell ref="X192:Y192"/>
    <mergeCell ref="D192:G192"/>
    <mergeCell ref="D193:G193"/>
    <mergeCell ref="H193:J193"/>
    <mergeCell ref="M193:O193"/>
    <mergeCell ref="Q193:R193"/>
    <mergeCell ref="S193:W193"/>
    <mergeCell ref="X193:Y193"/>
    <mergeCell ref="D194:G194"/>
    <mergeCell ref="H194:J194"/>
    <mergeCell ref="M194:O194"/>
    <mergeCell ref="Q194:R194"/>
    <mergeCell ref="S194:W194"/>
    <mergeCell ref="X194:Y194"/>
    <mergeCell ref="D195:G195"/>
    <mergeCell ref="H195:J195"/>
    <mergeCell ref="M195:O195"/>
    <mergeCell ref="Q195:R195"/>
    <mergeCell ref="S195:W195"/>
    <mergeCell ref="X195:Y195"/>
    <mergeCell ref="D196:G196"/>
    <mergeCell ref="H196:J196"/>
    <mergeCell ref="M196:O196"/>
    <mergeCell ref="Q196:R196"/>
    <mergeCell ref="S196:W196"/>
    <mergeCell ref="X196:Y196"/>
    <mergeCell ref="H197:J197"/>
    <mergeCell ref="M197:O197"/>
    <mergeCell ref="Q197:R197"/>
    <mergeCell ref="S197:W197"/>
    <mergeCell ref="X197:Y197"/>
    <mergeCell ref="D197:G197"/>
    <mergeCell ref="D201:G201"/>
    <mergeCell ref="H201:J201"/>
    <mergeCell ref="M201:O201"/>
    <mergeCell ref="Q201:R201"/>
    <mergeCell ref="S201:W201"/>
    <mergeCell ref="X201:Y201"/>
    <mergeCell ref="H202:J202"/>
    <mergeCell ref="M202:O202"/>
    <mergeCell ref="Q202:R202"/>
    <mergeCell ref="S202:W202"/>
    <mergeCell ref="X202:Y202"/>
    <mergeCell ref="D202:G202"/>
    <mergeCell ref="D198:G198"/>
    <mergeCell ref="H198:J198"/>
    <mergeCell ref="M198:O198"/>
    <mergeCell ref="Q198:R198"/>
    <mergeCell ref="S198:W198"/>
    <mergeCell ref="X198:Y198"/>
    <mergeCell ref="D199:G199"/>
    <mergeCell ref="H199:J199"/>
    <mergeCell ref="M199:O199"/>
    <mergeCell ref="Q199:R199"/>
    <mergeCell ref="S199:W199"/>
    <mergeCell ref="X199:Y199"/>
    <mergeCell ref="D200:G200"/>
    <mergeCell ref="H200:J200"/>
    <mergeCell ref="M200:O200"/>
    <mergeCell ref="Q200:R200"/>
    <mergeCell ref="S200:W200"/>
    <mergeCell ref="X200:Y200"/>
  </mergeCells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- Opći dio</vt:lpstr>
      <vt:lpstr>Prihodi i rashodi prema ekonoms</vt:lpstr>
      <vt:lpstr>Fja. klasifikacija</vt:lpstr>
      <vt:lpstr>Prihodi i rashodi prema izvorim</vt:lpstr>
      <vt:lpstr>2023-Izvršenje programska klasi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2023-07-14T10:26:04Z</cp:lastPrinted>
  <dcterms:created xsi:type="dcterms:W3CDTF">2022-03-22T09:45:24Z</dcterms:created>
  <dcterms:modified xsi:type="dcterms:W3CDTF">2023-07-24T11:56:13Z</dcterms:modified>
</cp:coreProperties>
</file>